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2"/>
  </bookViews>
  <sheets>
    <sheet name="Rekapitulace stavby" sheetId="1" r:id="rId1"/>
    <sheet name="SO 101 - Dopravní objížďka" sheetId="2" r:id="rId2"/>
    <sheet name="SO 102 - most ev.č. 01-48..." sheetId="3" r:id="rId3"/>
  </sheets>
  <definedNames/>
  <calcPr fullCalcOnLoad="1"/>
</workbook>
</file>

<file path=xl/sharedStrings.xml><?xml version="1.0" encoding="utf-8"?>
<sst xmlns="http://schemas.openxmlformats.org/spreadsheetml/2006/main" count="2568" uniqueCount="531">
  <si>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</si>
  <si>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</si>
  <si>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</si>
  <si>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</si>
  <si>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</si>
  <si>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</si>
  <si>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</si>
  <si>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</si>
  <si>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</si>
  <si>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</si>
  <si>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</si>
  <si>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</si>
  <si>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</si>
  <si>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</si>
  <si>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</si>
  <si>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Zacharka - Oprava mostu přes potok Zacharka</t>
  </si>
  <si>
    <t>0,1</t>
  </si>
  <si>
    <t>1</t>
  </si>
  <si>
    <t>Místo:</t>
  </si>
  <si>
    <t xml:space="preserve"> </t>
  </si>
  <si>
    <t>Datum:</t>
  </si>
  <si>
    <t>29.08.2013</t>
  </si>
  <si>
    <t>10</t>
  </si>
  <si>
    <t>100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</si>
  <si>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</si>
  <si>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</si>
  <si>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</si>
  <si>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</si>
  <si>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</si>
  <si>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</si>
  <si>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</si>
  <si>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</si>
  <si>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</si>
  <si>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</si>
  <si>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</si>
  <si>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</si>
  <si>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</si>
  <si>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</si>
  <si>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</si>
  <si>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</si>
  <si>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</si>
  <si>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</si>
  <si>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</si>
  <si>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</si>
  <si>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</si>
  <si>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</si>
  <si>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</si>
  <si>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</si>
  <si>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</si>
  <si>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</si>
  <si>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</si>
  <si>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</si>
  <si>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</si>
  <si>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</si>
  <si>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</si>
  <si>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</si>
  <si>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</si>
  <si>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</si>
  <si>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</si>
  <si>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</si>
  <si>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</si>
  <si>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</si>
  <si>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</si>
  <si>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</si>
  <si>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</si>
  <si>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</si>
  <si>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</si>
  <si>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</si>
  <si>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</si>
  <si>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</si>
  <si>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</si>
  <si>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</si>
  <si>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</si>
  <si>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</si>
  <si>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{1B948F30-0C40-41F1-894B-A229B59B8FED}</t>
  </si>
  <si>
    <t>{00000000-0000-0000-0000-000000000000}</t>
  </si>
  <si>
    <t>SO 101</t>
  </si>
  <si>
    <t>Dopravní objížďka</t>
  </si>
  <si>
    <t>{154DAAC5-BCA6-483E-8F2E-032D47BEF375}</t>
  </si>
  <si>
    <t>SO 102</t>
  </si>
  <si>
    <t>most ev.č. 01-48-c-M03</t>
  </si>
  <si>
    <t>{15749870-8DBC-463A-87CE-7DA483C4F4A8}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</si>
  <si>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</si>
  <si>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</si>
  <si>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</si>
  <si>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</si>
  <si>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</si>
  <si>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</si>
  <si>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</si>
  <si>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</si>
  <si>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</si>
  <si>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</si>
  <si>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</si>
  <si>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</si>
  <si>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</si>
  <si>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</si>
  <si>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</si>
  <si>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</si>
  <si>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</si>
  <si>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</si>
  <si>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</si>
  <si>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</si>
  <si>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</si>
  <si>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101 - Dopravní objížďka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</si>
  <si>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</si>
  <si>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</si>
  <si>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</si>
  <si>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</si>
  <si>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</si>
  <si>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</si>
  <si>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</si>
  <si>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práce-bourání</t>
  </si>
  <si>
    <t>VRN - Vedlejší rozpočtové náklady</t>
  </si>
  <si>
    <t xml:space="preserve">    0 - Vedlejší rozpočtové náklady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</si>
  <si>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</si>
  <si>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</si>
  <si>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</si>
  <si>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</si>
  <si>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</si>
  <si>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</si>
  <si>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</si>
  <si>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 - rezerva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</si>
  <si>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</si>
  <si>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</si>
  <si>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</si>
  <si>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</si>
  <si>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</si>
  <si>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</si>
  <si>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</si>
  <si>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</si>
  <si>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</si>
  <si>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</si>
  <si>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</si>
  <si>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</si>
  <si>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</si>
  <si>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</si>
  <si>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</si>
  <si>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</si>
  <si>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</si>
  <si>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</si>
  <si>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</si>
  <si>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913111112</t>
  </si>
  <si>
    <t>Montáž a demontáž sloupku délky do 2 m dočasné dopravní značky</t>
  </si>
  <si>
    <t>kus</t>
  </si>
  <si>
    <t>4</t>
  </si>
  <si>
    <t>913111115</t>
  </si>
  <si>
    <t>Montáž a demontáž dočasné dopravní značky samostatné základní</t>
  </si>
  <si>
    <t>"B1" 2</t>
  </si>
  <si>
    <t>VV</t>
  </si>
  <si>
    <t>"B 30" 2</t>
  </si>
  <si>
    <t>"IP10a"  3</t>
  </si>
  <si>
    <t>"IP 10b" 3</t>
  </si>
  <si>
    <t>"E3a" 8</t>
  </si>
  <si>
    <t>"IS 11b" 9</t>
  </si>
  <si>
    <t>"E13" 2+4</t>
  </si>
  <si>
    <t>"B13" 4</t>
  </si>
  <si>
    <t>Součet</t>
  </si>
  <si>
    <t>3</t>
  </si>
  <si>
    <t>913111116</t>
  </si>
  <si>
    <t>Montáž a demontáž dočasné dopravní značky samostatné zvětšené</t>
  </si>
  <si>
    <t>"IP22" 4</t>
  </si>
  <si>
    <t>"IS 11a" 1</t>
  </si>
  <si>
    <t>M</t>
  </si>
  <si>
    <t>404442620</t>
  </si>
  <si>
    <t>značka svislá reflexní AL- 3M 1000 x 1400 mm</t>
  </si>
  <si>
    <t>8</t>
  </si>
  <si>
    <t>"značka IP 10a + IP22" 1+4</t>
  </si>
  <si>
    <t>5</t>
  </si>
  <si>
    <t>913111212</t>
  </si>
  <si>
    <t>Příplatek k dočasnému sloupku délky do 2 m za první a ZKD den použití</t>
  </si>
  <si>
    <t>29*90</t>
  </si>
  <si>
    <t>6</t>
  </si>
  <si>
    <t>913111215</t>
  </si>
  <si>
    <t>Příplatek k dočasné dopravní značce samostatné základní za první a ZKD den použití</t>
  </si>
  <si>
    <t>37*90</t>
  </si>
  <si>
    <t>7</t>
  </si>
  <si>
    <t>913111216</t>
  </si>
  <si>
    <t>Příplatek k dočasné dopravní značce samostatné zvětšené za první a ZKD den použití</t>
  </si>
  <si>
    <t>5*90</t>
  </si>
  <si>
    <t>913221111</t>
  </si>
  <si>
    <t>Montáž a demontáž dočasné dopravní zábrany Z2 světelné šířky 1,5 m se 3 světly</t>
  </si>
  <si>
    <t>9</t>
  </si>
  <si>
    <t>913221211</t>
  </si>
  <si>
    <t>Příplatek k dočasné dopravní zábraně Z2 světelné šířky 1,5m se 3 světly za první a ZKD den použití</t>
  </si>
  <si>
    <t>2*90</t>
  </si>
  <si>
    <t>034403000</t>
  </si>
  <si>
    <t xml:space="preserve">Dopravní značení </t>
  </si>
  <si>
    <t>Kč</t>
  </si>
  <si>
    <t>131072</t>
  </si>
  <si>
    <t xml:space="preserve">"náklady na vyřízení uzavírky a ZUK" 1 </t>
  </si>
  <si>
    <t>11</t>
  </si>
  <si>
    <t>034403001</t>
  </si>
  <si>
    <t>Dopravní značení na staveništi</t>
  </si>
  <si>
    <t>"náklady na dovoz a odvoz provizorního DZ" 1</t>
  </si>
  <si>
    <t>VP - Vícepráce</t>
  </si>
  <si>
    <t>PN</t>
  </si>
  <si>
    <t>SO 102 - most ev.č. 01-48-c-M03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</si>
  <si>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</si>
  <si>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</si>
  <si>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</si>
  <si>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</si>
  <si>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</si>
  <si>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</si>
  <si>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  99 - Přesun hmot</t>
  </si>
  <si>
    <t>PSV - Práce a dodávky PSV</t>
  </si>
  <si>
    <t xml:space="preserve">    711 - Izolace proti vodě, vlhkosti a plynům</t>
  </si>
  <si>
    <t>113107183</t>
  </si>
  <si>
    <t>Odstranění podkladu pl přes 50 do 200 m2 živičných tl 150 mm</t>
  </si>
  <si>
    <t>m2</t>
  </si>
  <si>
    <t>"most" 10,8*4,0</t>
  </si>
  <si>
    <t>"komunikace" 10,2*2+20*5</t>
  </si>
  <si>
    <t>115001104</t>
  </si>
  <si>
    <t>Převedení vody potrubím DN do 300</t>
  </si>
  <si>
    <t>m</t>
  </si>
  <si>
    <t>122201101</t>
  </si>
  <si>
    <t>Odkopávky a prokopávky nezapažené v hornině tř. 3 objem do 100 m3</t>
  </si>
  <si>
    <t>m3</t>
  </si>
  <si>
    <t>"za opěrami"  ((1,702*1,85)/2+(2,4*1,85)/2)*12</t>
  </si>
  <si>
    <t>122201109</t>
  </si>
  <si>
    <t>Příplatek za lepivost u odkopávek v hornině tř. 1 až 3</t>
  </si>
  <si>
    <t>45,532*0,3</t>
  </si>
  <si>
    <t>129103101</t>
  </si>
  <si>
    <t>Čištění otevřených koryt vodotečí š dna do 5 m hl do 2,5 m v hornině tř. 1 a 2</t>
  </si>
  <si>
    <t>"odstranění náplav cca 30cm" 3,0*12,0*0,3</t>
  </si>
  <si>
    <t>129403101</t>
  </si>
  <si>
    <t>Čištění otevřených koryt vodotečí š dna do 5 m hl do 2,5 m v hornině tř. 5</t>
  </si>
  <si>
    <t>"rozebrání původního zpevnění z kamene" 12*3*0,2</t>
  </si>
  <si>
    <t>132201101</t>
  </si>
  <si>
    <t>Hloubení rýh š do 600 mm v hornině tř. 3 objemu do 100 m3</t>
  </si>
  <si>
    <t>"pro betonové prahy ve dně koryta potoka" 0,3*1,0*3,0*2</t>
  </si>
  <si>
    <t>132201109</t>
  </si>
  <si>
    <t>Příplatek za lepivost k hloubení rýh š do 600 mm v hornině tř. 3</t>
  </si>
  <si>
    <t>1,8*0,3</t>
  </si>
  <si>
    <t>155282211</t>
  </si>
  <si>
    <t xml:space="preserve">Očištění ploch stlačeným vzduchem </t>
  </si>
  <si>
    <t>155282291</t>
  </si>
  <si>
    <t>Příplatek za ruční dočištění ocelových kartáči</t>
  </si>
  <si>
    <t>"30%" 46,746*0,3</t>
  </si>
  <si>
    <t>162301102</t>
  </si>
  <si>
    <t>Vodorovné přemístění do 1000 m výkopku/sypaniny z horniny tř. 1 až 4</t>
  </si>
  <si>
    <t>45,532+10,8+7,2+1,8-13,5</t>
  </si>
  <si>
    <t>12</t>
  </si>
  <si>
    <t>162701109</t>
  </si>
  <si>
    <t>Příplatek k vodorovnému přemístění výkopku/sypaniny z horniny tř. 1 až 4 ZKD 1000 m přes 10000 m</t>
  </si>
  <si>
    <t>51,832*11</t>
  </si>
  <si>
    <t>13</t>
  </si>
  <si>
    <t>167101101</t>
  </si>
  <si>
    <t>Nakládání výkopku z hornin tř. 1 až 4 do 100 m3</t>
  </si>
  <si>
    <t>14</t>
  </si>
  <si>
    <t>171201201</t>
  </si>
  <si>
    <t>Uložení sypaniny na skládky</t>
  </si>
  <si>
    <t>171201211</t>
  </si>
  <si>
    <t>Poplatek za uložení odpadu ze sypaniny na skládce (skládkovné)</t>
  </si>
  <si>
    <t>t</t>
  </si>
  <si>
    <t>51,832*1,7</t>
  </si>
  <si>
    <t>16</t>
  </si>
  <si>
    <t>174101101</t>
  </si>
  <si>
    <t>Zásyp jam, šachet rýh nebo kolem objektů sypaninou se zhutněním</t>
  </si>
  <si>
    <t>"kolem křídel a opěr" 13,5</t>
  </si>
  <si>
    <t>17</t>
  </si>
  <si>
    <t>181411132</t>
  </si>
  <si>
    <t>Založení parkového trávníku výsevem plochy do 1000 m2 ve svahu do 1:2</t>
  </si>
  <si>
    <t>18</t>
  </si>
  <si>
    <t>005724100</t>
  </si>
  <si>
    <t>osivo směs travní parková</t>
  </si>
  <si>
    <t>kg</t>
  </si>
  <si>
    <t>19</t>
  </si>
  <si>
    <t>583312800</t>
  </si>
  <si>
    <t>ornice pro ohumusování</t>
  </si>
  <si>
    <t>20*0,15*1,7</t>
  </si>
  <si>
    <t>20</t>
  </si>
  <si>
    <t>182101101</t>
  </si>
  <si>
    <t>Svahování v zářezech v hornině tř. 1 až 4</t>
  </si>
  <si>
    <t>182301122</t>
  </si>
  <si>
    <t>Rozprostření ornice pl do 500 m2 ve svahu přes 1:5 tl vrstvy do 150 mm</t>
  </si>
  <si>
    <t>22</t>
  </si>
  <si>
    <t>212312111</t>
  </si>
  <si>
    <t>Lože pro trativody z betonu prostého</t>
  </si>
  <si>
    <t>0,15*0,2*12*2</t>
  </si>
  <si>
    <t>23</t>
  </si>
  <si>
    <t>212792212</t>
  </si>
  <si>
    <t>Odvodnění mostní opěry - drenážní flexibilní plastové potrubí DN 160</t>
  </si>
  <si>
    <t>2*12</t>
  </si>
  <si>
    <t>24</t>
  </si>
  <si>
    <t>212972113</t>
  </si>
  <si>
    <t>Opláštění drenážních trub filtrační textilií DN 160</t>
  </si>
  <si>
    <t>25</t>
  </si>
  <si>
    <t>317321118</t>
  </si>
  <si>
    <t>Mostní římsy ze ŽB C 30/37</t>
  </si>
  <si>
    <t>0,8*0,551*(8+6,6+2,1)</t>
  </si>
  <si>
    <t>26</t>
  </si>
  <si>
    <t>317353121</t>
  </si>
  <si>
    <t>Bednění mostních říms všech tvarů - zřízení</t>
  </si>
  <si>
    <t>0,551*(8+6,6+1,5)+0,2*(8+6,6+2,1)+0,8*0,551*3+0,99*0,55</t>
  </si>
  <si>
    <t>27</t>
  </si>
  <si>
    <t>317353221</t>
  </si>
  <si>
    <t>Bednění mostních říms všech tvarů - odstranění</t>
  </si>
  <si>
    <t>28</t>
  </si>
  <si>
    <t>317361116</t>
  </si>
  <si>
    <t>Výztuž mostních říms z betonářské oceli 10 505</t>
  </si>
  <si>
    <t>7,361*0,015</t>
  </si>
  <si>
    <t>29</t>
  </si>
  <si>
    <t>321311113</t>
  </si>
  <si>
    <t>Konstrukce vodních staveb z betonu prostého vodostavebného V8 tř. B 25</t>
  </si>
  <si>
    <t>"betonové prahy pro zpevněné dlážděného koryta" 0,3*1,0*3,0*2</t>
  </si>
  <si>
    <t>30</t>
  </si>
  <si>
    <t>334323118</t>
  </si>
  <si>
    <t>Mostní opěry a úložné prahy ze ŽB C 30/37</t>
  </si>
  <si>
    <t>0,518*0,5*11,922*2+0,155*0,322*11,922*2</t>
  </si>
  <si>
    <t>31</t>
  </si>
  <si>
    <t>334351112</t>
  </si>
  <si>
    <t>Bednění systémové mostních opěr a úložných prahů z překližek pro ŽB - zřízení</t>
  </si>
  <si>
    <t>0,85*11,922*2*2+0,518*0,85*4</t>
  </si>
  <si>
    <t>32</t>
  </si>
  <si>
    <t>334351211</t>
  </si>
  <si>
    <t>Bednění systémové mostních opěr a úložných prahů z překližek - odstranění</t>
  </si>
  <si>
    <t>33</t>
  </si>
  <si>
    <t>334361266</t>
  </si>
  <si>
    <t>Výztuž úložných prahů ložisek z betonářské oceli 10 505</t>
  </si>
  <si>
    <t>6,112*0,015</t>
  </si>
  <si>
    <t>34</t>
  </si>
  <si>
    <t>348171111</t>
  </si>
  <si>
    <t>Osazení mostního ocelového zábradlí nesnímatelného do betonu říms přímo</t>
  </si>
  <si>
    <t>35</t>
  </si>
  <si>
    <t>553912210</t>
  </si>
  <si>
    <t>mostní zábradlí vč. povrchové úpravy nátěrem</t>
  </si>
  <si>
    <t>8,0+6,6+2</t>
  </si>
  <si>
    <t>36</t>
  </si>
  <si>
    <t>348185111</t>
  </si>
  <si>
    <t>Zábradlí ze dřeva měkkého hoblovaného dočasné s dvojmadlem - zřízení</t>
  </si>
  <si>
    <t>2*11</t>
  </si>
  <si>
    <t>37</t>
  </si>
  <si>
    <t>348185211</t>
  </si>
  <si>
    <t>Zábradlí ze dřeva měkkého hoblovaného dočasné s dvojmadlem - odstranění</t>
  </si>
  <si>
    <t>38</t>
  </si>
  <si>
    <t>388995112</t>
  </si>
  <si>
    <t>Tvarovka kabelovodu HDPE do konstrukce římsy tvaru žlab s víkem</t>
  </si>
  <si>
    <t>2*3,5</t>
  </si>
  <si>
    <t>39</t>
  </si>
  <si>
    <t>421321108</t>
  </si>
  <si>
    <t>Mostní nosné konstrukce deskové přechodové ze ŽB C 30/37</t>
  </si>
  <si>
    <t>11,9*3,57*(0,2+0,322)/2</t>
  </si>
  <si>
    <t>40</t>
  </si>
  <si>
    <t>421321128</t>
  </si>
  <si>
    <t>Mostní nosné konstrukce deskové ze ŽB C 30/37</t>
  </si>
  <si>
    <t>41</t>
  </si>
  <si>
    <t>421351131</t>
  </si>
  <si>
    <t>Bednění konstrukcí mostů výšky do 350 mm - zřízení</t>
  </si>
  <si>
    <t>11,9*3,57*2+(11,9+3,57)*0,2*2</t>
  </si>
  <si>
    <t>42</t>
  </si>
  <si>
    <t>421351231</t>
  </si>
  <si>
    <t>Bednění konstrukcí mostů výšky do 350 mm - odstranění</t>
  </si>
  <si>
    <t>43</t>
  </si>
  <si>
    <t>421361226</t>
  </si>
  <si>
    <t>Výztuž ŽB deskového mostu z betonářské oceli 10 505</t>
  </si>
  <si>
    <t>11,088*0,015</t>
  </si>
  <si>
    <t>44</t>
  </si>
  <si>
    <t>451311511</t>
  </si>
  <si>
    <t>Podklad pro dlažbu z betonu prostého vodostavebného V4 tř. B 20 vrstva tl do 100 mm</t>
  </si>
  <si>
    <t>"dno potoka" 3,57*11,5</t>
  </si>
  <si>
    <t>"rozšíření před a za mostem 2m" 3,57*2+3,57*2</t>
  </si>
  <si>
    <t>45</t>
  </si>
  <si>
    <t>451571111</t>
  </si>
  <si>
    <t>Lože pod dlažby ze štěrkopísku vrstva tl do 100 mm</t>
  </si>
  <si>
    <t>46</t>
  </si>
  <si>
    <t>458591111</t>
  </si>
  <si>
    <t>Zřízení výplně těsnící vrstvy za opěrou z jílu</t>
  </si>
  <si>
    <t>(2,0+2,6)*0,2*12</t>
  </si>
  <si>
    <t>47</t>
  </si>
  <si>
    <t>581232800</t>
  </si>
  <si>
    <t>zemina jílovinová kameninová surová kusová</t>
  </si>
  <si>
    <t>11,04*1,7</t>
  </si>
  <si>
    <t>48</t>
  </si>
  <si>
    <t>465513127</t>
  </si>
  <si>
    <t>Dlažba z lomového kamene na cementovou maltu s vyspárováním tl 200 mm</t>
  </si>
  <si>
    <t>49</t>
  </si>
  <si>
    <t>564261111</t>
  </si>
  <si>
    <t>Podklad nebo podsyp ze štěrkopísku ŠP tl 200 mm</t>
  </si>
  <si>
    <t>"vozovka" 10,2*5+20*5</t>
  </si>
  <si>
    <t>50</t>
  </si>
  <si>
    <t>565165121</t>
  </si>
  <si>
    <t>Asfaltový beton vrstva podkladní ACP 16 (obalované kamenivo OKS) tl 80 mm š přes 3 m</t>
  </si>
  <si>
    <t>51</t>
  </si>
  <si>
    <t>567122114</t>
  </si>
  <si>
    <t>Podklad z kameniva zpevněného cementem KSC I tl 150 mm</t>
  </si>
  <si>
    <t>52</t>
  </si>
  <si>
    <t>573211111</t>
  </si>
  <si>
    <t>Postřik živičný spojovací z asfaltu v množství do 0,70 kg/m2</t>
  </si>
  <si>
    <t>10,2*3,6*3+(10,2*5+20*5)*3</t>
  </si>
  <si>
    <t>53</t>
  </si>
  <si>
    <t>576133221</t>
  </si>
  <si>
    <t>Asfaltový koberec mastixový SMA 11 (AKMS) tl 40 mm š přes 3 m</t>
  </si>
  <si>
    <t>"most" 10,2*3,6</t>
  </si>
  <si>
    <t>"silnice" 10,2*5+20*5</t>
  </si>
  <si>
    <t>54</t>
  </si>
  <si>
    <t>576143321</t>
  </si>
  <si>
    <t>Asfaltový koberec mastixový SMA 16 (AKMH) tl 50 mm š přes 3 m</t>
  </si>
  <si>
    <t>55</t>
  </si>
  <si>
    <t>577124121</t>
  </si>
  <si>
    <t>Asfaltový beton vrstva obrusná ACO 11 (ABS) tř. I tl 30 mm š přes 3 m z nemodifikovaného asfaltu</t>
  </si>
  <si>
    <t>56</t>
  </si>
  <si>
    <t>628611101</t>
  </si>
  <si>
    <t>Nátěr betonu mostu epoxidový 1x impregnační OS-A</t>
  </si>
  <si>
    <t>"římsy" (0,551+0,8+0,2)*(3,0+2,9)</t>
  </si>
  <si>
    <t>"mostovka" 2,95*11,8</t>
  </si>
  <si>
    <t>"opěry" 1,6*11,9*2</t>
  </si>
  <si>
    <t>57</t>
  </si>
  <si>
    <t>628611102</t>
  </si>
  <si>
    <t>Nátěr betonu mostu epoxidový 2x ochranný nepružný OS-B</t>
  </si>
  <si>
    <t>58</t>
  </si>
  <si>
    <t>914111111</t>
  </si>
  <si>
    <t>Montáž svislé dopravní značky do velikosti 1 m2 objímkami na sloupek nebo konzolu</t>
  </si>
  <si>
    <t>"označení mostu" 2</t>
  </si>
  <si>
    <t>59</t>
  </si>
  <si>
    <t>404441030</t>
  </si>
  <si>
    <t>značka svislá do 500 mm</t>
  </si>
  <si>
    <t>60</t>
  </si>
  <si>
    <t>914511112</t>
  </si>
  <si>
    <t>Montáž sloupku dopravních značek délky do 3,5 m s betonovým základem a patkou</t>
  </si>
  <si>
    <t>61</t>
  </si>
  <si>
    <t>404452250</t>
  </si>
  <si>
    <t>sloupek Zn 60 - 150</t>
  </si>
  <si>
    <t>62</t>
  </si>
  <si>
    <t>919121131</t>
  </si>
  <si>
    <t>Těsnění spár zálivkou za studena pro komůrky š 20 mm hl 30 mm s těsnicím profilem</t>
  </si>
  <si>
    <t>"napojení vozovky" 10,2+20</t>
  </si>
  <si>
    <t>63</t>
  </si>
  <si>
    <t>919735113</t>
  </si>
  <si>
    <t>Řezání stávajícího živičného krytu hl do 150 mm</t>
  </si>
  <si>
    <t>"zaříznutí vozovky" 10,2+20</t>
  </si>
  <si>
    <t>64</t>
  </si>
  <si>
    <t>931941211</t>
  </si>
  <si>
    <t>Dilatační mostní závěr flexibilní s elastickou výplní a krycím plechem</t>
  </si>
  <si>
    <t>0,052*0,322*12*2</t>
  </si>
  <si>
    <t>65</t>
  </si>
  <si>
    <t>931993111</t>
  </si>
  <si>
    <t>Kluzné uložení - 3x lepenka</t>
  </si>
  <si>
    <t>2*11,2</t>
  </si>
  <si>
    <t>66</t>
  </si>
  <si>
    <t>931994132</t>
  </si>
  <si>
    <t>Těsnění dilatační spáry betonové konstrukce silikonovým tmelem do pl 4,0 cm2</t>
  </si>
  <si>
    <t>2*10,2</t>
  </si>
  <si>
    <t>67</t>
  </si>
  <si>
    <t>936172121</t>
  </si>
  <si>
    <t>Osazení kovových doplňků mostního vybavení - kotevních stoliček zábradlí nebo svodidel do 20 kg</t>
  </si>
  <si>
    <t>68</t>
  </si>
  <si>
    <t>962051111</t>
  </si>
  <si>
    <t>Bourání mostních zdí a pilířů z ŽB</t>
  </si>
  <si>
    <t>"vybourání zdí" 0,6*12*0,517*2</t>
  </si>
  <si>
    <t>"říms" 0,5*0,259*8+0,5*0,259*6,6+0,5*0,259*1,5</t>
  </si>
  <si>
    <t>69</t>
  </si>
  <si>
    <t>963051111</t>
  </si>
  <si>
    <t>Bourání mostní nosné konstrukce z ŽB</t>
  </si>
  <si>
    <t>"odstranění I nosníků a PZD desek" 11,8*3,6*0,27</t>
  </si>
  <si>
    <t>70</t>
  </si>
  <si>
    <t>966075141</t>
  </si>
  <si>
    <t>Odstranění kovového zábradlí vcelku</t>
  </si>
  <si>
    <t>8+10</t>
  </si>
  <si>
    <t>71</t>
  </si>
  <si>
    <t>967043111</t>
  </si>
  <si>
    <t>Odsekání vrstvy vyrovnávacího betonu na nosné konstrukci mostů tl 150 mm</t>
  </si>
  <si>
    <t>3,6*10,8</t>
  </si>
  <si>
    <t>72</t>
  </si>
  <si>
    <t>978071261</t>
  </si>
  <si>
    <t>Otlučení omítky a odstranění izolace z lepenky vodorovné pl přes 1 m2</t>
  </si>
  <si>
    <t>10,8*4</t>
  </si>
  <si>
    <t>73</t>
  </si>
  <si>
    <t>985131111</t>
  </si>
  <si>
    <t>Očištění ploch stěn, rubu kleneb a podlah tlakovou vodou</t>
  </si>
  <si>
    <t>"opěry" 1,1*1,9*2*2</t>
  </si>
  <si>
    <t>"křídla"2,3*1,6*4+2,7*1,6*2+1,4*1,6+2+2,1*1,6*2+0,517*1,6*3+0,99*1,6</t>
  </si>
  <si>
    <t>74</t>
  </si>
  <si>
    <t>985511113</t>
  </si>
  <si>
    <t>Stříkaný beton ze suché směsi pevnosti 25 MPa stěn tl 50 mm</t>
  </si>
  <si>
    <t>75</t>
  </si>
  <si>
    <t>997013801</t>
  </si>
  <si>
    <t>Poplatek za uložení stavebního betonového a železobetonového odpadu na skládce (skládkovné)</t>
  </si>
  <si>
    <t>76</t>
  </si>
  <si>
    <t>997013814</t>
  </si>
  <si>
    <t>Poplatek za uložení stavebního odpadu z izolačních hmot na skládce (skládkovné)</t>
  </si>
  <si>
    <t>77</t>
  </si>
  <si>
    <t>997211511</t>
  </si>
  <si>
    <t>Vodorovná doprava suti po suchu na vzdálenost do 1 km</t>
  </si>
  <si>
    <t>"železobeton a beton" 22,872+27,528+10,264+0,188</t>
  </si>
  <si>
    <t>"zábradlí" 0,324</t>
  </si>
  <si>
    <t>"lepenka" 0,032</t>
  </si>
  <si>
    <t>78</t>
  </si>
  <si>
    <t>997211519</t>
  </si>
  <si>
    <t>Příplatek ZKD 1 km u vodorovné dopravy suti</t>
  </si>
  <si>
    <t>60,852*11</t>
  </si>
  <si>
    <t>79</t>
  </si>
  <si>
    <t>998212111</t>
  </si>
  <si>
    <t>Přesun hmot pro mosty zděné, monolitické betonové nebo ocelové v do 20 m</t>
  </si>
  <si>
    <t>80</t>
  </si>
  <si>
    <t>711142559</t>
  </si>
  <si>
    <t>Provedení izolace proti zemní vlhkosti pásy přitavením svislé NAIP</t>
  </si>
  <si>
    <t>"opěrná zeď" 11,9*1,6*2</t>
  </si>
  <si>
    <t>"křídla" 2,3*1,6*4+1,5*1,6</t>
  </si>
  <si>
    <t>81</t>
  </si>
  <si>
    <t>628321340</t>
  </si>
  <si>
    <t>pás těžký asfaltovaný</t>
  </si>
  <si>
    <t>82</t>
  </si>
  <si>
    <t>711341564</t>
  </si>
  <si>
    <t>Celoplošná hydroizolace mostovek systém NAIP - 3x lepenka</t>
  </si>
  <si>
    <t>11,2*3,6</t>
  </si>
  <si>
    <t>83</t>
  </si>
  <si>
    <t>711391303</t>
  </si>
  <si>
    <t>Provedení hydroizolace mostovek litým mastixem asfaltovým 10 mm</t>
  </si>
  <si>
    <t>10,2*3,6</t>
  </si>
  <si>
    <t>84</t>
  </si>
  <si>
    <t>589419100</t>
  </si>
  <si>
    <t>směs pro asfaltový koberec mastixový SMA 8S PMB25/55-56  do 8mm  tř. 1</t>
  </si>
  <si>
    <t>85</t>
  </si>
  <si>
    <t>711412002</t>
  </si>
  <si>
    <t>Provedení izolace proti tlakové vodě svislé za studena lakem asfaltovým</t>
  </si>
  <si>
    <t>86</t>
  </si>
  <si>
    <t>111631500</t>
  </si>
  <si>
    <t>lak asfaltový ALP/9 bal 9 kg</t>
  </si>
  <si>
    <t>Spotřeba 0,3-0,4kg/m2 dle povrchu, ředidlo technický benzín</t>
  </si>
  <si>
    <t>P</t>
  </si>
  <si>
    <t>87</t>
  </si>
  <si>
    <t>711691172</t>
  </si>
  <si>
    <t>Provedení rubové hydroizolace ochranné vrstvy z textilie</t>
  </si>
  <si>
    <t>88</t>
  </si>
  <si>
    <t>693111460</t>
  </si>
  <si>
    <t>textilie 300 g/m2</t>
  </si>
  <si>
    <t>89</t>
  </si>
  <si>
    <t>998711101</t>
  </si>
  <si>
    <t>Přesun hmot tonážní pro izolace proti vodě, vlhkosti a plynům v objektech výšky do 6 m</t>
  </si>
  <si>
    <t xml:space="preserve">H. Rezerva   </t>
  </si>
  <si>
    <t xml:space="preserve"> (10% ze ZRN)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</si>
</sst>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9" fontId="0" fillId="0" borderId="0" xfId="0" applyNumberFormat="1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31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0" borderId="33" xfId="0" applyNumberFormat="1" applyFont="1" applyBorder="1" applyAlignment="1" applyProtection="1">
      <alignment horizontal="right" vertical="center"/>
      <protection locked="0"/>
    </xf>
    <xf numFmtId="0" fontId="31" fillId="0" borderId="33" xfId="0" applyFont="1" applyBorder="1" applyAlignment="1" applyProtection="1">
      <alignment horizontal="left" vertical="center"/>
      <protection locked="0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9" fillId="34" borderId="0" xfId="0" applyFont="1" applyFill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  <xf numFmtId="0" fontId="32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showGridLines="0" zoomScalePageLayoutView="0" workbookViewId="0" topLeftCell="A1">
      <pane ySplit="1" topLeftCell="A33" activePane="bottomLeft" state="frozen"/>
      <selection pane="topLeft" activeCell="A1" sqref="A1"/>
      <selection pane="bottomLeft" activeCell="BE84" sqref="BE8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3" t="s">
        <v>4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R2" s="156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7" t="s">
        <v>6</v>
      </c>
      <c r="BT2" s="7" t="s">
        <v>7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s="2" customFormat="1" ht="37.5" customHeight="1">
      <c r="B4" s="11"/>
      <c r="C4" s="172" t="s">
        <v>9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2"/>
      <c r="AS4" s="13" t="s">
        <v>10</v>
      </c>
      <c r="BE4" s="14" t="s">
        <v>11</v>
      </c>
      <c r="BS4" s="7" t="s">
        <v>12</v>
      </c>
    </row>
    <row r="5" spans="2:71" s="2" customFormat="1" ht="7.5" customHeight="1">
      <c r="B5" s="11"/>
      <c r="AQ5" s="12"/>
      <c r="BE5" s="184" t="s">
        <v>13</v>
      </c>
      <c r="BS5" s="7" t="s">
        <v>6</v>
      </c>
    </row>
    <row r="6" spans="2:71" s="2" customFormat="1" ht="26.25" customHeight="1">
      <c r="B6" s="11"/>
      <c r="D6" s="15" t="s">
        <v>14</v>
      </c>
      <c r="K6" s="173" t="s">
        <v>15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Q6" s="12"/>
      <c r="BE6" s="157"/>
      <c r="BS6" s="7" t="s">
        <v>16</v>
      </c>
    </row>
    <row r="7" spans="2:71" s="2" customFormat="1" ht="7.5" customHeight="1">
      <c r="B7" s="11"/>
      <c r="AQ7" s="12"/>
      <c r="BE7" s="157"/>
      <c r="BS7" s="7" t="s">
        <v>17</v>
      </c>
    </row>
    <row r="8" spans="2:71" s="2" customFormat="1" ht="15" customHeight="1">
      <c r="B8" s="11"/>
      <c r="D8" s="16" t="s">
        <v>18</v>
      </c>
      <c r="K8" s="17" t="s">
        <v>19</v>
      </c>
      <c r="AK8" s="16" t="s">
        <v>20</v>
      </c>
      <c r="AN8" s="18" t="s">
        <v>21</v>
      </c>
      <c r="AQ8" s="12"/>
      <c r="BE8" s="157"/>
      <c r="BS8" s="7" t="s">
        <v>22</v>
      </c>
    </row>
    <row r="9" spans="2:71" s="2" customFormat="1" ht="15" customHeight="1">
      <c r="B9" s="11"/>
      <c r="AQ9" s="12"/>
      <c r="BE9" s="157"/>
      <c r="BS9" s="7" t="s">
        <v>23</v>
      </c>
    </row>
    <row r="10" spans="2:71" s="2" customFormat="1" ht="15" customHeight="1">
      <c r="B10" s="11"/>
      <c r="D10" s="16" t="s">
        <v>24</v>
      </c>
      <c r="AK10" s="16" t="s">
        <v>25</v>
      </c>
      <c r="AN10" s="17"/>
      <c r="AQ10" s="12"/>
      <c r="BE10" s="157"/>
      <c r="BS10" s="7" t="s">
        <v>16</v>
      </c>
    </row>
    <row r="11" spans="2:71" s="2" customFormat="1" ht="19.5" customHeight="1">
      <c r="B11" s="11"/>
      <c r="E11" s="17" t="s">
        <v>19</v>
      </c>
      <c r="AK11" s="16" t="s">
        <v>26</v>
      </c>
      <c r="AN11" s="17"/>
      <c r="AQ11" s="12"/>
      <c r="BE11" s="157"/>
      <c r="BS11" s="7" t="s">
        <v>16</v>
      </c>
    </row>
    <row r="12" spans="2:71" s="2" customFormat="1" ht="7.5" customHeight="1">
      <c r="B12" s="11"/>
      <c r="AQ12" s="12"/>
      <c r="BE12" s="157"/>
      <c r="BS12" s="7" t="s">
        <v>16</v>
      </c>
    </row>
    <row r="13" spans="2:71" s="2" customFormat="1" ht="15" customHeight="1">
      <c r="B13" s="11"/>
      <c r="D13" s="16" t="s">
        <v>27</v>
      </c>
      <c r="AK13" s="16" t="s">
        <v>25</v>
      </c>
      <c r="AN13" s="19" t="s">
        <v>28</v>
      </c>
      <c r="AQ13" s="12"/>
      <c r="BE13" s="157"/>
      <c r="BS13" s="7" t="s">
        <v>16</v>
      </c>
    </row>
    <row r="14" spans="2:71" s="2" customFormat="1" ht="15.75" customHeight="1">
      <c r="B14" s="11"/>
      <c r="E14" s="185" t="s">
        <v>28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6" t="s">
        <v>26</v>
      </c>
      <c r="AN14" s="19" t="s">
        <v>28</v>
      </c>
      <c r="AQ14" s="12"/>
      <c r="BE14" s="157"/>
      <c r="BS14" s="7" t="s">
        <v>16</v>
      </c>
    </row>
    <row r="15" spans="2:71" s="2" customFormat="1" ht="7.5" customHeight="1">
      <c r="B15" s="11"/>
      <c r="AQ15" s="12"/>
      <c r="BE15" s="157"/>
      <c r="BS15" s="7" t="s">
        <v>3</v>
      </c>
    </row>
    <row r="16" spans="2:71" s="2" customFormat="1" ht="15" customHeight="1">
      <c r="B16" s="11"/>
      <c r="D16" s="16" t="s">
        <v>29</v>
      </c>
      <c r="AK16" s="16" t="s">
        <v>25</v>
      </c>
      <c r="AN16" s="17"/>
      <c r="AQ16" s="12"/>
      <c r="BE16" s="157"/>
      <c r="BS16" s="7" t="s">
        <v>3</v>
      </c>
    </row>
    <row r="17" spans="2:71" ht="19.5" customHeight="1">
      <c r="B17" s="11"/>
      <c r="E17" s="17" t="s">
        <v>19</v>
      </c>
      <c r="AK17" s="16" t="s">
        <v>26</v>
      </c>
      <c r="AN17" s="17"/>
      <c r="AQ17" s="12"/>
      <c r="AR17" s="2"/>
      <c r="BE17" s="157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7" t="s">
        <v>30</v>
      </c>
    </row>
    <row r="18" spans="2:71" ht="7.5" customHeight="1">
      <c r="B18" s="11"/>
      <c r="AQ18" s="12"/>
      <c r="AR18" s="2"/>
      <c r="BE18" s="157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7" t="s">
        <v>6</v>
      </c>
    </row>
    <row r="19" spans="2:71" ht="15" customHeight="1">
      <c r="B19" s="11"/>
      <c r="D19" s="16" t="s">
        <v>31</v>
      </c>
      <c r="AK19" s="16" t="s">
        <v>25</v>
      </c>
      <c r="AN19" s="17"/>
      <c r="AQ19" s="12"/>
      <c r="AR19" s="2"/>
      <c r="BE19" s="157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7" t="s">
        <v>16</v>
      </c>
    </row>
    <row r="20" spans="2:70" ht="19.5" customHeight="1">
      <c r="B20" s="11"/>
      <c r="E20" s="17" t="s">
        <v>19</v>
      </c>
      <c r="AK20" s="16" t="s">
        <v>26</v>
      </c>
      <c r="AN20" s="17"/>
      <c r="AQ20" s="12"/>
      <c r="AR20" s="2"/>
      <c r="BE20" s="15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1"/>
      <c r="AQ21" s="12"/>
      <c r="AR21" s="2"/>
      <c r="BE21" s="157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2"/>
      <c r="AR22" s="2"/>
      <c r="BE22" s="157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1"/>
      <c r="D23" s="21" t="s">
        <v>32</v>
      </c>
      <c r="AK23" s="186">
        <f>ROUNDUP($AG$87,2)</f>
        <v>0</v>
      </c>
      <c r="AL23" s="157"/>
      <c r="AM23" s="157"/>
      <c r="AN23" s="157"/>
      <c r="AO23" s="157"/>
      <c r="AQ23" s="12"/>
      <c r="AR23" s="2"/>
      <c r="BE23" s="157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1"/>
      <c r="D24" s="21" t="s">
        <v>33</v>
      </c>
      <c r="AK24" s="186">
        <f>ROUNDUP($AG$91,2)</f>
        <v>0</v>
      </c>
      <c r="AL24" s="157"/>
      <c r="AM24" s="157"/>
      <c r="AN24" s="157"/>
      <c r="AO24" s="157"/>
      <c r="AQ24" s="12"/>
      <c r="AR24" s="2"/>
      <c r="BE24" s="157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57" s="7" customFormat="1" ht="7.5" customHeight="1">
      <c r="B25" s="22"/>
      <c r="AQ25" s="23"/>
      <c r="BE25" s="159"/>
    </row>
    <row r="26" spans="2:57" s="7" customFormat="1" ht="27" customHeight="1">
      <c r="B26" s="22"/>
      <c r="D26" s="24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7">
        <f>ROUNDUP($AK$23+$AK$24,2)</f>
        <v>0</v>
      </c>
      <c r="AL26" s="188"/>
      <c r="AM26" s="188"/>
      <c r="AN26" s="188"/>
      <c r="AO26" s="188"/>
      <c r="AQ26" s="23"/>
      <c r="BE26" s="159"/>
    </row>
    <row r="27" spans="2:57" s="7" customFormat="1" ht="7.5" customHeight="1">
      <c r="B27" s="22"/>
      <c r="AQ27" s="23"/>
      <c r="BE27" s="159"/>
    </row>
    <row r="28" spans="2:57" s="7" customFormat="1" ht="15" customHeight="1">
      <c r="B28" s="26"/>
      <c r="D28" s="27" t="s">
        <v>35</v>
      </c>
      <c r="F28" s="27" t="s">
        <v>36</v>
      </c>
      <c r="L28" s="178">
        <v>0.21</v>
      </c>
      <c r="M28" s="179"/>
      <c r="N28" s="179"/>
      <c r="O28" s="179"/>
      <c r="T28" s="29" t="s">
        <v>37</v>
      </c>
      <c r="W28" s="180">
        <f>ROUNDUP($AZ$87+SUM($CD$92:$CD$105),2)</f>
        <v>0</v>
      </c>
      <c r="X28" s="179"/>
      <c r="Y28" s="179"/>
      <c r="Z28" s="179"/>
      <c r="AA28" s="179"/>
      <c r="AB28" s="179"/>
      <c r="AC28" s="179"/>
      <c r="AD28" s="179"/>
      <c r="AE28" s="179"/>
      <c r="AK28" s="180">
        <f>ROUNDUP($AV$87+SUM($BY$92:$BY$105),1)</f>
        <v>0</v>
      </c>
      <c r="AL28" s="179"/>
      <c r="AM28" s="179"/>
      <c r="AN28" s="179"/>
      <c r="AO28" s="179"/>
      <c r="AQ28" s="30"/>
      <c r="BE28" s="179"/>
    </row>
    <row r="29" spans="2:57" s="7" customFormat="1" ht="15" customHeight="1">
      <c r="B29" s="26"/>
      <c r="F29" s="27" t="s">
        <v>38</v>
      </c>
      <c r="L29" s="178">
        <v>0.15</v>
      </c>
      <c r="M29" s="179"/>
      <c r="N29" s="179"/>
      <c r="O29" s="179"/>
      <c r="T29" s="29" t="s">
        <v>37</v>
      </c>
      <c r="W29" s="180">
        <f>ROUNDUP($BA$87+SUM($CE$92:$CE$105),2)</f>
        <v>0</v>
      </c>
      <c r="X29" s="179"/>
      <c r="Y29" s="179"/>
      <c r="Z29" s="179"/>
      <c r="AA29" s="179"/>
      <c r="AB29" s="179"/>
      <c r="AC29" s="179"/>
      <c r="AD29" s="179"/>
      <c r="AE29" s="179"/>
      <c r="AK29" s="180">
        <f>ROUNDUP($AW$87+SUM($BZ$92:$BZ$105),1)</f>
        <v>0</v>
      </c>
      <c r="AL29" s="179"/>
      <c r="AM29" s="179"/>
      <c r="AN29" s="179"/>
      <c r="AO29" s="179"/>
      <c r="AQ29" s="30"/>
      <c r="BE29" s="179"/>
    </row>
    <row r="30" spans="2:57" s="7" customFormat="1" ht="15" customHeight="1" hidden="1">
      <c r="B30" s="26"/>
      <c r="F30" s="27" t="s">
        <v>39</v>
      </c>
      <c r="L30" s="178">
        <v>0.21</v>
      </c>
      <c r="M30" s="179"/>
      <c r="N30" s="179"/>
      <c r="O30" s="179"/>
      <c r="T30" s="29" t="s">
        <v>37</v>
      </c>
      <c r="W30" s="180">
        <f>ROUNDUP($BB$87+SUM($CF$92:$CF$105),2)</f>
        <v>0</v>
      </c>
      <c r="X30" s="179"/>
      <c r="Y30" s="179"/>
      <c r="Z30" s="179"/>
      <c r="AA30" s="179"/>
      <c r="AB30" s="179"/>
      <c r="AC30" s="179"/>
      <c r="AD30" s="179"/>
      <c r="AE30" s="179"/>
      <c r="AK30" s="180">
        <v>0</v>
      </c>
      <c r="AL30" s="179"/>
      <c r="AM30" s="179"/>
      <c r="AN30" s="179"/>
      <c r="AO30" s="179"/>
      <c r="AQ30" s="30"/>
      <c r="BE30" s="179"/>
    </row>
    <row r="31" spans="2:57" s="7" customFormat="1" ht="15" customHeight="1" hidden="1">
      <c r="B31" s="26"/>
      <c r="F31" s="27" t="s">
        <v>40</v>
      </c>
      <c r="L31" s="178">
        <v>0.15</v>
      </c>
      <c r="M31" s="179"/>
      <c r="N31" s="179"/>
      <c r="O31" s="179"/>
      <c r="T31" s="29" t="s">
        <v>37</v>
      </c>
      <c r="W31" s="180">
        <f>ROUNDUP($BC$87+SUM($CG$92:$CG$105),2)</f>
        <v>0</v>
      </c>
      <c r="X31" s="179"/>
      <c r="Y31" s="179"/>
      <c r="Z31" s="179"/>
      <c r="AA31" s="179"/>
      <c r="AB31" s="179"/>
      <c r="AC31" s="179"/>
      <c r="AD31" s="179"/>
      <c r="AE31" s="179"/>
      <c r="AK31" s="180">
        <v>0</v>
      </c>
      <c r="AL31" s="179"/>
      <c r="AM31" s="179"/>
      <c r="AN31" s="179"/>
      <c r="AO31" s="179"/>
      <c r="AQ31" s="30"/>
      <c r="BE31" s="179"/>
    </row>
    <row r="32" spans="2:57" s="7" customFormat="1" ht="15" customHeight="1" hidden="1">
      <c r="B32" s="26"/>
      <c r="F32" s="27" t="s">
        <v>41</v>
      </c>
      <c r="L32" s="178">
        <v>0</v>
      </c>
      <c r="M32" s="179"/>
      <c r="N32" s="179"/>
      <c r="O32" s="179"/>
      <c r="T32" s="29" t="s">
        <v>37</v>
      </c>
      <c r="W32" s="180">
        <f>ROUNDUP($BD$87+SUM($CH$92:$CH$105),2)</f>
        <v>0</v>
      </c>
      <c r="X32" s="179"/>
      <c r="Y32" s="179"/>
      <c r="Z32" s="179"/>
      <c r="AA32" s="179"/>
      <c r="AB32" s="179"/>
      <c r="AC32" s="179"/>
      <c r="AD32" s="179"/>
      <c r="AE32" s="179"/>
      <c r="AK32" s="180">
        <v>0</v>
      </c>
      <c r="AL32" s="179"/>
      <c r="AM32" s="179"/>
      <c r="AN32" s="179"/>
      <c r="AO32" s="179"/>
      <c r="AQ32" s="30"/>
      <c r="BE32" s="179"/>
    </row>
    <row r="33" spans="2:57" s="7" customFormat="1" ht="7.5" customHeight="1">
      <c r="B33" s="22"/>
      <c r="AQ33" s="23"/>
      <c r="BE33" s="159"/>
    </row>
    <row r="34" spans="2:57" s="7" customFormat="1" ht="27" customHeight="1">
      <c r="B34" s="22"/>
      <c r="C34" s="31"/>
      <c r="D34" s="32" t="s">
        <v>42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43</v>
      </c>
      <c r="U34" s="33"/>
      <c r="V34" s="33"/>
      <c r="W34" s="33"/>
      <c r="X34" s="181" t="s">
        <v>44</v>
      </c>
      <c r="Y34" s="169"/>
      <c r="Z34" s="169"/>
      <c r="AA34" s="169"/>
      <c r="AB34" s="169"/>
      <c r="AC34" s="33"/>
      <c r="AD34" s="33"/>
      <c r="AE34" s="33"/>
      <c r="AF34" s="33"/>
      <c r="AG34" s="33"/>
      <c r="AH34" s="33"/>
      <c r="AI34" s="33"/>
      <c r="AJ34" s="33"/>
      <c r="AK34" s="182">
        <f>ROUNDUP(SUM($AK$26:$AK$32),2)</f>
        <v>0</v>
      </c>
      <c r="AL34" s="169"/>
      <c r="AM34" s="169"/>
      <c r="AN34" s="169"/>
      <c r="AO34" s="171"/>
      <c r="AP34" s="31"/>
      <c r="AQ34" s="23"/>
      <c r="BE34" s="159"/>
    </row>
    <row r="35" spans="2:43" s="7" customFormat="1" ht="15" customHeight="1">
      <c r="B35" s="22"/>
      <c r="AQ35" s="23"/>
    </row>
    <row r="36" spans="2:43" s="2" customFormat="1" ht="14.25" customHeight="1">
      <c r="B36" s="11"/>
      <c r="AQ36" s="12"/>
    </row>
    <row r="37" spans="2:43" s="2" customFormat="1" ht="14.25" customHeight="1">
      <c r="B37" s="11"/>
      <c r="AQ37" s="12"/>
    </row>
    <row r="38" spans="2:43" s="2" customFormat="1" ht="14.25" customHeight="1">
      <c r="B38" s="11"/>
      <c r="AQ38" s="12"/>
    </row>
    <row r="39" spans="2:43" s="2" customFormat="1" ht="14.25" customHeight="1">
      <c r="B39" s="11"/>
      <c r="AQ39" s="12"/>
    </row>
    <row r="40" spans="2:43" s="2" customFormat="1" ht="14.25" customHeight="1">
      <c r="B40" s="11"/>
      <c r="AQ40" s="12"/>
    </row>
    <row r="41" spans="2:43" s="2" customFormat="1" ht="14.25" customHeight="1">
      <c r="B41" s="11"/>
      <c r="AQ41" s="12"/>
    </row>
    <row r="42" spans="2:43" s="2" customFormat="1" ht="14.25" customHeight="1">
      <c r="B42" s="11"/>
      <c r="AQ42" s="12"/>
    </row>
    <row r="43" spans="2:43" s="2" customFormat="1" ht="14.25" customHeight="1">
      <c r="B43" s="11"/>
      <c r="AQ43" s="12"/>
    </row>
    <row r="44" spans="2:43" s="2" customFormat="1" ht="14.25" customHeight="1">
      <c r="B44" s="11"/>
      <c r="AQ44" s="12"/>
    </row>
    <row r="45" spans="2:43" s="2" customFormat="1" ht="14.25" customHeight="1">
      <c r="B45" s="11"/>
      <c r="AQ45" s="12"/>
    </row>
    <row r="46" spans="2:43" s="2" customFormat="1" ht="14.25" customHeight="1">
      <c r="B46" s="11"/>
      <c r="AQ46" s="12"/>
    </row>
    <row r="47" spans="2:43" s="2" customFormat="1" ht="14.25" customHeight="1">
      <c r="B47" s="11"/>
      <c r="AQ47" s="12"/>
    </row>
    <row r="48" spans="2:43" s="2" customFormat="1" ht="14.25" customHeight="1">
      <c r="B48" s="11"/>
      <c r="AQ48" s="12"/>
    </row>
    <row r="49" spans="2:43" s="7" customFormat="1" ht="15.75" customHeight="1">
      <c r="B49" s="22"/>
      <c r="D49" s="35" t="s">
        <v>45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46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1"/>
      <c r="D50" s="38"/>
      <c r="Z50" s="39"/>
      <c r="AC50" s="38"/>
      <c r="AO50" s="39"/>
      <c r="AQ50" s="12"/>
    </row>
    <row r="51" spans="2:43" s="2" customFormat="1" ht="14.25" customHeight="1">
      <c r="B51" s="11"/>
      <c r="D51" s="38"/>
      <c r="Z51" s="39"/>
      <c r="AC51" s="38"/>
      <c r="AO51" s="39"/>
      <c r="AQ51" s="12"/>
    </row>
    <row r="52" spans="2:43" s="2" customFormat="1" ht="14.25" customHeight="1">
      <c r="B52" s="11"/>
      <c r="D52" s="38"/>
      <c r="Z52" s="39"/>
      <c r="AC52" s="38"/>
      <c r="AO52" s="39"/>
      <c r="AQ52" s="12"/>
    </row>
    <row r="53" spans="2:43" s="2" customFormat="1" ht="14.25" customHeight="1">
      <c r="B53" s="11"/>
      <c r="D53" s="38"/>
      <c r="Z53" s="39"/>
      <c r="AC53" s="38"/>
      <c r="AO53" s="39"/>
      <c r="AQ53" s="12"/>
    </row>
    <row r="54" spans="2:43" s="2" customFormat="1" ht="14.25" customHeight="1">
      <c r="B54" s="11"/>
      <c r="D54" s="38"/>
      <c r="Z54" s="39"/>
      <c r="AC54" s="38"/>
      <c r="AO54" s="39"/>
      <c r="AQ54" s="12"/>
    </row>
    <row r="55" spans="2:43" s="2" customFormat="1" ht="14.25" customHeight="1">
      <c r="B55" s="11"/>
      <c r="D55" s="38"/>
      <c r="Z55" s="39"/>
      <c r="AC55" s="38"/>
      <c r="AO55" s="39"/>
      <c r="AQ55" s="12"/>
    </row>
    <row r="56" spans="2:43" s="2" customFormat="1" ht="14.25" customHeight="1">
      <c r="B56" s="11"/>
      <c r="D56" s="38"/>
      <c r="Z56" s="39"/>
      <c r="AC56" s="38"/>
      <c r="AO56" s="39"/>
      <c r="AQ56" s="12"/>
    </row>
    <row r="57" spans="2:43" s="2" customFormat="1" ht="14.25" customHeight="1">
      <c r="B57" s="11"/>
      <c r="D57" s="38"/>
      <c r="Z57" s="39"/>
      <c r="AC57" s="38"/>
      <c r="AO57" s="39"/>
      <c r="AQ57" s="12"/>
    </row>
    <row r="58" spans="2:43" s="7" customFormat="1" ht="15.75" customHeight="1">
      <c r="B58" s="22"/>
      <c r="D58" s="40" t="s">
        <v>47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48</v>
      </c>
      <c r="S58" s="41"/>
      <c r="T58" s="41"/>
      <c r="U58" s="41"/>
      <c r="V58" s="41"/>
      <c r="W58" s="41"/>
      <c r="X58" s="41"/>
      <c r="Y58" s="41"/>
      <c r="Z58" s="43"/>
      <c r="AC58" s="40" t="s">
        <v>47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48</v>
      </c>
      <c r="AN58" s="41"/>
      <c r="AO58" s="43"/>
      <c r="AQ58" s="23"/>
    </row>
    <row r="59" spans="2:43" s="2" customFormat="1" ht="14.25" customHeight="1">
      <c r="B59" s="11"/>
      <c r="AQ59" s="12"/>
    </row>
    <row r="60" spans="2:43" s="7" customFormat="1" ht="15.75" customHeight="1">
      <c r="B60" s="22"/>
      <c r="D60" s="35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50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1"/>
      <c r="D61" s="38"/>
      <c r="Z61" s="39"/>
      <c r="AC61" s="38"/>
      <c r="AO61" s="39"/>
      <c r="AQ61" s="12"/>
    </row>
    <row r="62" spans="2:43" s="2" customFormat="1" ht="14.25" customHeight="1">
      <c r="B62" s="11"/>
      <c r="D62" s="38"/>
      <c r="Z62" s="39"/>
      <c r="AC62" s="38"/>
      <c r="AO62" s="39"/>
      <c r="AQ62" s="12"/>
    </row>
    <row r="63" spans="2:43" s="2" customFormat="1" ht="14.25" customHeight="1">
      <c r="B63" s="11"/>
      <c r="D63" s="38"/>
      <c r="Z63" s="39"/>
      <c r="AC63" s="38"/>
      <c r="AO63" s="39"/>
      <c r="AQ63" s="12"/>
    </row>
    <row r="64" spans="2:43" s="2" customFormat="1" ht="14.25" customHeight="1">
      <c r="B64" s="11"/>
      <c r="D64" s="38"/>
      <c r="Z64" s="39"/>
      <c r="AC64" s="38"/>
      <c r="AO64" s="39"/>
      <c r="AQ64" s="12"/>
    </row>
    <row r="65" spans="2:43" s="2" customFormat="1" ht="14.25" customHeight="1">
      <c r="B65" s="11"/>
      <c r="D65" s="38"/>
      <c r="Z65" s="39"/>
      <c r="AC65" s="38"/>
      <c r="AO65" s="39"/>
      <c r="AQ65" s="12"/>
    </row>
    <row r="66" spans="2:43" s="2" customFormat="1" ht="14.25" customHeight="1">
      <c r="B66" s="11"/>
      <c r="D66" s="38"/>
      <c r="Z66" s="39"/>
      <c r="AC66" s="38"/>
      <c r="AO66" s="39"/>
      <c r="AQ66" s="12"/>
    </row>
    <row r="67" spans="2:43" s="2" customFormat="1" ht="14.25" customHeight="1">
      <c r="B67" s="11"/>
      <c r="D67" s="38"/>
      <c r="Z67" s="39"/>
      <c r="AC67" s="38"/>
      <c r="AO67" s="39"/>
      <c r="AQ67" s="12"/>
    </row>
    <row r="68" spans="2:43" s="2" customFormat="1" ht="14.25" customHeight="1">
      <c r="B68" s="11"/>
      <c r="D68" s="38"/>
      <c r="Z68" s="39"/>
      <c r="AC68" s="38"/>
      <c r="AO68" s="39"/>
      <c r="AQ68" s="12"/>
    </row>
    <row r="69" spans="2:43" s="7" customFormat="1" ht="15.75" customHeight="1">
      <c r="B69" s="22"/>
      <c r="D69" s="40" t="s">
        <v>47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48</v>
      </c>
      <c r="S69" s="41"/>
      <c r="T69" s="41"/>
      <c r="U69" s="41"/>
      <c r="V69" s="41"/>
      <c r="W69" s="41"/>
      <c r="X69" s="41"/>
      <c r="Y69" s="41"/>
      <c r="Z69" s="43"/>
      <c r="AC69" s="40" t="s">
        <v>47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48</v>
      </c>
      <c r="AN69" s="41"/>
      <c r="AO69" s="43"/>
      <c r="AQ69" s="23"/>
    </row>
    <row r="70" spans="2:43" s="7" customFormat="1" ht="7.5" customHeight="1">
      <c r="B70" s="22"/>
      <c r="AQ70" s="23"/>
    </row>
    <row r="71" spans="2:43" s="7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7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7" customFormat="1" ht="37.5" customHeight="1">
      <c r="B76" s="22"/>
      <c r="C76" s="172" t="s">
        <v>51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23"/>
    </row>
    <row r="77" spans="2:43" s="7" customFormat="1" ht="7.5" customHeight="1">
      <c r="B77" s="22"/>
      <c r="AQ77" s="23"/>
    </row>
    <row r="78" spans="2:43" s="15" customFormat="1" ht="27" customHeight="1">
      <c r="B78" s="50"/>
      <c r="C78" s="15" t="s">
        <v>14</v>
      </c>
      <c r="L78" s="173" t="str">
        <f>$K$6</f>
        <v>Zacharka - Oprava mostu přes potok Zacharka</v>
      </c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Q78" s="51"/>
    </row>
    <row r="79" spans="2:43" s="7" customFormat="1" ht="7.5" customHeight="1">
      <c r="B79" s="22"/>
      <c r="AQ79" s="23"/>
    </row>
    <row r="80" spans="2:43" s="7" customFormat="1" ht="15.75" customHeight="1">
      <c r="B80" s="22"/>
      <c r="C80" s="16" t="s">
        <v>18</v>
      </c>
      <c r="L80" s="52" t="str">
        <f>IF($K$8="","",$K$8)</f>
        <v> </v>
      </c>
      <c r="AI80" s="16" t="s">
        <v>20</v>
      </c>
      <c r="AM80" s="53" t="str">
        <f>IF($AN$8="","",$AN$8)</f>
        <v>29.08.2013</v>
      </c>
      <c r="AQ80" s="23"/>
    </row>
    <row r="81" spans="2:43" s="7" customFormat="1" ht="7.5" customHeight="1">
      <c r="B81" s="22"/>
      <c r="AQ81" s="23"/>
    </row>
    <row r="82" spans="2:56" s="7" customFormat="1" ht="18.75" customHeight="1">
      <c r="B82" s="22"/>
      <c r="C82" s="16" t="s">
        <v>24</v>
      </c>
      <c r="L82" s="17" t="str">
        <f>IF($E$11="","",$E$11)</f>
        <v> </v>
      </c>
      <c r="AI82" s="16" t="s">
        <v>29</v>
      </c>
      <c r="AM82" s="174" t="str">
        <f>IF($E$17="","",$E$17)</f>
        <v> </v>
      </c>
      <c r="AN82" s="159"/>
      <c r="AO82" s="159"/>
      <c r="AP82" s="159"/>
      <c r="AQ82" s="23"/>
      <c r="AS82" s="175" t="s">
        <v>52</v>
      </c>
      <c r="AT82" s="176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7" customFormat="1" ht="15.75" customHeight="1">
      <c r="B83" s="22"/>
      <c r="C83" s="16" t="s">
        <v>27</v>
      </c>
      <c r="L83" s="17">
        <f>IF($E$14="Vyplň údaj","",$E$14)</f>
      </c>
      <c r="AI83" s="16" t="s">
        <v>31</v>
      </c>
      <c r="AM83" s="174" t="str">
        <f>IF($E$20="","",$E$20)</f>
        <v> </v>
      </c>
      <c r="AN83" s="159"/>
      <c r="AO83" s="159"/>
      <c r="AP83" s="159"/>
      <c r="AQ83" s="23"/>
      <c r="AS83" s="177"/>
      <c r="AT83" s="159"/>
      <c r="BD83" s="55"/>
    </row>
    <row r="84" spans="2:56" s="7" customFormat="1" ht="12" customHeight="1">
      <c r="B84" s="22"/>
      <c r="AQ84" s="23"/>
      <c r="AS84" s="177"/>
      <c r="AT84" s="159"/>
      <c r="BD84" s="55"/>
    </row>
    <row r="85" spans="2:57" s="7" customFormat="1" ht="30" customHeight="1">
      <c r="B85" s="22"/>
      <c r="C85" s="168" t="s">
        <v>53</v>
      </c>
      <c r="D85" s="169"/>
      <c r="E85" s="169"/>
      <c r="F85" s="169"/>
      <c r="G85" s="169"/>
      <c r="H85" s="33"/>
      <c r="I85" s="170" t="s">
        <v>54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70" t="s">
        <v>55</v>
      </c>
      <c r="AH85" s="169"/>
      <c r="AI85" s="169"/>
      <c r="AJ85" s="169"/>
      <c r="AK85" s="169"/>
      <c r="AL85" s="169"/>
      <c r="AM85" s="169"/>
      <c r="AN85" s="170" t="s">
        <v>56</v>
      </c>
      <c r="AO85" s="169"/>
      <c r="AP85" s="171"/>
      <c r="AQ85" s="23"/>
      <c r="AS85" s="56" t="s">
        <v>57</v>
      </c>
      <c r="AT85" s="57" t="s">
        <v>58</v>
      </c>
      <c r="AU85" s="57" t="s">
        <v>59</v>
      </c>
      <c r="AV85" s="57" t="s">
        <v>60</v>
      </c>
      <c r="AW85" s="57" t="s">
        <v>61</v>
      </c>
      <c r="AX85" s="57" t="s">
        <v>62</v>
      </c>
      <c r="AY85" s="57" t="s">
        <v>63</v>
      </c>
      <c r="AZ85" s="57" t="s">
        <v>64</v>
      </c>
      <c r="BA85" s="57" t="s">
        <v>65</v>
      </c>
      <c r="BB85" s="57" t="s">
        <v>66</v>
      </c>
      <c r="BC85" s="57" t="s">
        <v>67</v>
      </c>
      <c r="BD85" s="58" t="s">
        <v>68</v>
      </c>
      <c r="BE85" s="59"/>
    </row>
    <row r="86" spans="2:56" s="7" customFormat="1" ht="12" customHeight="1">
      <c r="B86" s="22"/>
      <c r="AQ86" s="23"/>
      <c r="AS86" s="60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15" customFormat="1" ht="33" customHeight="1">
      <c r="B87" s="50"/>
      <c r="C87" s="61" t="s">
        <v>69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62">
        <f>ROUNDUP(SUM($AG$88:$AG$89),2)</f>
        <v>0</v>
      </c>
      <c r="AH87" s="163"/>
      <c r="AI87" s="163"/>
      <c r="AJ87" s="163"/>
      <c r="AK87" s="163"/>
      <c r="AL87" s="163"/>
      <c r="AM87" s="163"/>
      <c r="AN87" s="162">
        <f>ROUNDUP(SUM($AG$87,$AT$87),2)</f>
        <v>0</v>
      </c>
      <c r="AO87" s="163"/>
      <c r="AP87" s="163"/>
      <c r="AQ87" s="51"/>
      <c r="AS87" s="62">
        <f>ROUNDUP(SUM($AS$88:$AS$89),2)</f>
        <v>0</v>
      </c>
      <c r="AT87" s="63">
        <f>ROUNDUP(SUM($AV$87:$AW$87),1)</f>
        <v>0</v>
      </c>
      <c r="AU87" s="64">
        <f>ROUNDUP(SUM($AU$88:$AU$89),5)</f>
        <v>1420.81537</v>
      </c>
      <c r="AV87" s="63">
        <f>ROUNDUP($AZ$87*$L$28,2)</f>
        <v>0</v>
      </c>
      <c r="AW87" s="63">
        <f>ROUNDUP($BA$87*$L$29,2)</f>
        <v>0</v>
      </c>
      <c r="AX87" s="63">
        <f>ROUNDUP($BB$87*$L$28,2)</f>
        <v>0</v>
      </c>
      <c r="AY87" s="63">
        <f>ROUNDUP($BC$87*$L$29,2)</f>
        <v>0</v>
      </c>
      <c r="AZ87" s="63">
        <f>ROUNDUP(SUM($AZ$88:$AZ$89),2)</f>
        <v>0</v>
      </c>
      <c r="BA87" s="63">
        <f>ROUNDUP(SUM($BA$88:$BA$89),2)</f>
        <v>0</v>
      </c>
      <c r="BB87" s="63">
        <f>ROUNDUP(SUM($BB$88:$BB$89),2)</f>
        <v>0</v>
      </c>
      <c r="BC87" s="63">
        <f>ROUNDUP(SUM($BC$88:$BC$89),2)</f>
        <v>0</v>
      </c>
      <c r="BD87" s="65">
        <f>ROUNDUP(SUM($BD$88:$BD$89),2)</f>
        <v>0</v>
      </c>
      <c r="BS87" s="15" t="s">
        <v>70</v>
      </c>
      <c r="BT87" s="15" t="s">
        <v>71</v>
      </c>
      <c r="BU87" s="66" t="s">
        <v>72</v>
      </c>
      <c r="BV87" s="15" t="s">
        <v>73</v>
      </c>
      <c r="BW87" s="15" t="s">
        <v>74</v>
      </c>
      <c r="BX87" s="15" t="s">
        <v>75</v>
      </c>
    </row>
    <row r="88" spans="2:76" s="67" customFormat="1" ht="28.5" customHeight="1">
      <c r="B88" s="68"/>
      <c r="C88" s="69"/>
      <c r="D88" s="166" t="s">
        <v>76</v>
      </c>
      <c r="E88" s="167"/>
      <c r="F88" s="167"/>
      <c r="G88" s="167"/>
      <c r="H88" s="167"/>
      <c r="I88" s="69"/>
      <c r="J88" s="166" t="s">
        <v>77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4">
        <f>'SO 101 - Dopravní objížďka'!$M$27</f>
        <v>0</v>
      </c>
      <c r="AH88" s="165"/>
      <c r="AI88" s="165"/>
      <c r="AJ88" s="165"/>
      <c r="AK88" s="165"/>
      <c r="AL88" s="165"/>
      <c r="AM88" s="165"/>
      <c r="AN88" s="164">
        <f>ROUNDUP(SUM($AG$88,$AT$88),2)</f>
        <v>0</v>
      </c>
      <c r="AO88" s="165"/>
      <c r="AP88" s="165"/>
      <c r="AQ88" s="70"/>
      <c r="AS88" s="71">
        <f>'SO 101 - Dopravní objížďka'!$M$25</f>
        <v>0</v>
      </c>
      <c r="AT88" s="72">
        <f>ROUNDUP(SUM($AV$88:$AW$88),1)</f>
        <v>0</v>
      </c>
      <c r="AU88" s="73">
        <f>'SO 101 - Dopravní objížďka'!$W$120</f>
        <v>5.38</v>
      </c>
      <c r="AV88" s="72">
        <f>'SO 101 - Dopravní objížďka'!$M$29</f>
        <v>0</v>
      </c>
      <c r="AW88" s="72">
        <f>'SO 101 - Dopravní objížďka'!$M$30</f>
        <v>0</v>
      </c>
      <c r="AX88" s="72">
        <f>'SO 101 - Dopravní objížďka'!$M$31</f>
        <v>0</v>
      </c>
      <c r="AY88" s="72">
        <f>'SO 101 - Dopravní objížďka'!$M$32</f>
        <v>0</v>
      </c>
      <c r="AZ88" s="72">
        <f>'SO 101 - Dopravní objížďka'!$H$29</f>
        <v>0</v>
      </c>
      <c r="BA88" s="72">
        <f>'SO 101 - Dopravní objížďka'!$H$30</f>
        <v>0</v>
      </c>
      <c r="BB88" s="72">
        <f>'SO 101 - Dopravní objížďka'!$H$31</f>
        <v>0</v>
      </c>
      <c r="BC88" s="72">
        <f>'SO 101 - Dopravní objížďka'!$H$32</f>
        <v>0</v>
      </c>
      <c r="BD88" s="74">
        <f>'SO 101 - Dopravní objížďka'!$H$33</f>
        <v>0</v>
      </c>
      <c r="BT88" s="67" t="s">
        <v>17</v>
      </c>
      <c r="BV88" s="67" t="s">
        <v>73</v>
      </c>
      <c r="BW88" s="67" t="s">
        <v>78</v>
      </c>
      <c r="BX88" s="67" t="s">
        <v>74</v>
      </c>
    </row>
    <row r="89" spans="2:76" s="67" customFormat="1" ht="28.5" customHeight="1">
      <c r="B89" s="68"/>
      <c r="C89" s="69"/>
      <c r="D89" s="166" t="s">
        <v>79</v>
      </c>
      <c r="E89" s="167"/>
      <c r="F89" s="167"/>
      <c r="G89" s="167"/>
      <c r="H89" s="167"/>
      <c r="I89" s="69"/>
      <c r="J89" s="166" t="s">
        <v>80</v>
      </c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4">
        <f>'SO 102 - most ev.č. 01-48...'!$M$27</f>
        <v>0</v>
      </c>
      <c r="AH89" s="165"/>
      <c r="AI89" s="165"/>
      <c r="AJ89" s="165"/>
      <c r="AK89" s="165"/>
      <c r="AL89" s="165"/>
      <c r="AM89" s="165"/>
      <c r="AN89" s="164">
        <f>ROUNDUP(SUM($AG$89,$AT$89),2)</f>
        <v>0</v>
      </c>
      <c r="AO89" s="165"/>
      <c r="AP89" s="165"/>
      <c r="AQ89" s="70"/>
      <c r="AS89" s="75">
        <f>'SO 102 - most ev.č. 01-48...'!$M$25</f>
        <v>0</v>
      </c>
      <c r="AT89" s="76">
        <f>ROUNDUP(SUM($AV$89:$AW$89),1)</f>
        <v>0</v>
      </c>
      <c r="AU89" s="77">
        <f>'SO 102 - most ev.č. 01-48...'!$W$127</f>
        <v>1415.435363</v>
      </c>
      <c r="AV89" s="76">
        <f>'SO 102 - most ev.č. 01-48...'!$M$29</f>
        <v>0</v>
      </c>
      <c r="AW89" s="76">
        <f>'SO 102 - most ev.č. 01-48...'!$M$30</f>
        <v>0</v>
      </c>
      <c r="AX89" s="76">
        <f>'SO 102 - most ev.č. 01-48...'!$M$31</f>
        <v>0</v>
      </c>
      <c r="AY89" s="76">
        <f>'SO 102 - most ev.č. 01-48...'!$M$32</f>
        <v>0</v>
      </c>
      <c r="AZ89" s="76">
        <f>'SO 102 - most ev.č. 01-48...'!$H$29</f>
        <v>0</v>
      </c>
      <c r="BA89" s="76">
        <f>'SO 102 - most ev.č. 01-48...'!$H$30</f>
        <v>0</v>
      </c>
      <c r="BB89" s="76">
        <f>'SO 102 - most ev.č. 01-48...'!$H$31</f>
        <v>0</v>
      </c>
      <c r="BC89" s="76">
        <f>'SO 102 - most ev.č. 01-48...'!$H$32</f>
        <v>0</v>
      </c>
      <c r="BD89" s="78">
        <f>'SO 102 - most ev.č. 01-48...'!$H$33</f>
        <v>0</v>
      </c>
      <c r="BT89" s="67" t="s">
        <v>17</v>
      </c>
      <c r="BV89" s="67" t="s">
        <v>73</v>
      </c>
      <c r="BW89" s="67" t="s">
        <v>81</v>
      </c>
      <c r="BX89" s="67" t="s">
        <v>74</v>
      </c>
    </row>
    <row r="90" spans="2:43" s="2" customFormat="1" ht="14.25" customHeight="1">
      <c r="B90" s="11"/>
      <c r="AQ90" s="12"/>
    </row>
    <row r="91" spans="2:49" s="7" customFormat="1" ht="30.75" customHeight="1">
      <c r="B91" s="22"/>
      <c r="C91" s="61" t="s">
        <v>82</v>
      </c>
      <c r="AG91" s="162">
        <f>ROUNDUP(SUM($AG$92:$AG$104),2)</f>
        <v>0</v>
      </c>
      <c r="AH91" s="159"/>
      <c r="AI91" s="159"/>
      <c r="AJ91" s="159"/>
      <c r="AK91" s="159"/>
      <c r="AL91" s="159"/>
      <c r="AM91" s="159"/>
      <c r="AN91" s="162">
        <f>ROUNDUP(SUM($AN$92:$AN$104),2)</f>
        <v>0</v>
      </c>
      <c r="AO91" s="159"/>
      <c r="AP91" s="159"/>
      <c r="AQ91" s="23"/>
      <c r="AS91" s="56" t="s">
        <v>83</v>
      </c>
      <c r="AT91" s="57" t="s">
        <v>84</v>
      </c>
      <c r="AU91" s="57" t="s">
        <v>35</v>
      </c>
      <c r="AV91" s="58" t="s">
        <v>58</v>
      </c>
      <c r="AW91" s="59"/>
    </row>
    <row r="92" spans="2:89" s="7" customFormat="1" ht="21" customHeight="1">
      <c r="B92" s="22"/>
      <c r="D92" s="79" t="s">
        <v>85</v>
      </c>
      <c r="AG92" s="160">
        <f>ROUNDUP($AG$87*$AS$92,2)</f>
        <v>0</v>
      </c>
      <c r="AH92" s="159"/>
      <c r="AI92" s="159"/>
      <c r="AJ92" s="159"/>
      <c r="AK92" s="159"/>
      <c r="AL92" s="159"/>
      <c r="AM92" s="159"/>
      <c r="AN92" s="161">
        <f>ROUNDUP($AG$92+$AV$92,2)</f>
        <v>0</v>
      </c>
      <c r="AO92" s="159"/>
      <c r="AP92" s="159"/>
      <c r="AQ92" s="23"/>
      <c r="AS92" s="80">
        <v>0</v>
      </c>
      <c r="AT92" s="81" t="s">
        <v>86</v>
      </c>
      <c r="AU92" s="81" t="s">
        <v>36</v>
      </c>
      <c r="AV92" s="82">
        <f>ROUNDUP(IF($AU$92="základní",$AG$92*$L$28,IF($AU$92="snížená",$AG$92*$L$29,0)),2)</f>
        <v>0</v>
      </c>
      <c r="BV92" s="7" t="s">
        <v>87</v>
      </c>
      <c r="BY92" s="83">
        <f>IF($AU$92="základní",$AV$92,0)</f>
        <v>0</v>
      </c>
      <c r="BZ92" s="83">
        <f>IF($AU$92="snížená",$AV$92,0)</f>
        <v>0</v>
      </c>
      <c r="CA92" s="83">
        <v>0</v>
      </c>
      <c r="CB92" s="83">
        <v>0</v>
      </c>
      <c r="CC92" s="83">
        <v>0</v>
      </c>
      <c r="CD92" s="83">
        <f>IF($AU$92="základní",$AG$92,0)</f>
        <v>0</v>
      </c>
      <c r="CE92" s="83">
        <f>IF($AU$92="snížená",$AG$92,0)</f>
        <v>0</v>
      </c>
      <c r="CF92" s="83">
        <f>IF($AU$92="zákl. přenesená",$AG$92,0)</f>
        <v>0</v>
      </c>
      <c r="CG92" s="83">
        <f>IF($AU$92="sníž. přenesená",$AG$92,0)</f>
        <v>0</v>
      </c>
      <c r="CH92" s="83">
        <f>IF($AU$92="nulová",$AG$92,0)</f>
        <v>0</v>
      </c>
      <c r="CI92" s="7">
        <f>IF($AU$92="základní",1,IF($AU$92="snížená",2,IF($AU$92="zákl. přenesená",4,IF($AU$92="sníž. přenesená",5,3))))</f>
        <v>1</v>
      </c>
      <c r="CJ92" s="7">
        <f>IF($AT$92="stavební čast",1,IF(8892="investiční čast",2,3))</f>
        <v>1</v>
      </c>
      <c r="CK92" s="7" t="str">
        <f>IF($D$92="Vyplň vlastní","","x")</f>
        <v>x</v>
      </c>
    </row>
    <row r="93" spans="2:89" s="7" customFormat="1" ht="21" customHeight="1">
      <c r="B93" s="22"/>
      <c r="D93" s="79" t="s">
        <v>88</v>
      </c>
      <c r="AG93" s="160">
        <f>ROUNDUP($AG$87*$AS$93,2)</f>
        <v>0</v>
      </c>
      <c r="AH93" s="159"/>
      <c r="AI93" s="159"/>
      <c r="AJ93" s="159"/>
      <c r="AK93" s="159"/>
      <c r="AL93" s="159"/>
      <c r="AM93" s="159"/>
      <c r="AN93" s="161">
        <f>ROUNDUP($AG$93+$AV$93,2)</f>
        <v>0</v>
      </c>
      <c r="AO93" s="159"/>
      <c r="AP93" s="159"/>
      <c r="AQ93" s="23"/>
      <c r="AS93" s="84">
        <v>0</v>
      </c>
      <c r="AT93" s="85" t="s">
        <v>86</v>
      </c>
      <c r="AU93" s="85" t="s">
        <v>36</v>
      </c>
      <c r="AV93" s="86">
        <f>ROUNDUP(IF($AU$93="základní",$AG$93*$L$28,IF($AU$93="snížená",$AG$93*$L$29,0)),2)</f>
        <v>0</v>
      </c>
      <c r="BV93" s="7" t="s">
        <v>87</v>
      </c>
      <c r="BY93" s="83">
        <f>IF($AU$93="základní",$AV$93,0)</f>
        <v>0</v>
      </c>
      <c r="BZ93" s="83">
        <f>IF($AU$93="snížená",$AV$93,0)</f>
        <v>0</v>
      </c>
      <c r="CA93" s="83">
        <v>0</v>
      </c>
      <c r="CB93" s="83">
        <v>0</v>
      </c>
      <c r="CC93" s="83">
        <v>0</v>
      </c>
      <c r="CD93" s="83">
        <f>IF($AU$93="základní",$AG$93,0)</f>
        <v>0</v>
      </c>
      <c r="CE93" s="83">
        <f>IF($AU$93="snížená",$AG$93,0)</f>
        <v>0</v>
      </c>
      <c r="CF93" s="83">
        <f>IF($AU$93="zákl. přenesená",$AG$93,0)</f>
        <v>0</v>
      </c>
      <c r="CG93" s="83">
        <f>IF($AU$93="sníž. přenesená",$AG$93,0)</f>
        <v>0</v>
      </c>
      <c r="CH93" s="83">
        <f>IF($AU$93="nulová",$AG$93,0)</f>
        <v>0</v>
      </c>
      <c r="CI93" s="7">
        <f>IF($AU$93="základní",1,IF($AU$93="snížená",2,IF($AU$93="zákl. přenesená",4,IF($AU$93="sníž. přenesená",5,3))))</f>
        <v>1</v>
      </c>
      <c r="CJ93" s="7">
        <f>IF($AT$93="stavební čast",1,IF(8893="investiční čast",2,3))</f>
        <v>1</v>
      </c>
      <c r="CK93" s="7" t="str">
        <f>IF($D$93="Vyplň vlastní","","x")</f>
        <v>x</v>
      </c>
    </row>
    <row r="94" spans="2:89" s="7" customFormat="1" ht="21" customHeight="1">
      <c r="B94" s="22"/>
      <c r="D94" s="79" t="s">
        <v>89</v>
      </c>
      <c r="AG94" s="160">
        <f>ROUNDUP($AG$87*$AS$94,2)</f>
        <v>0</v>
      </c>
      <c r="AH94" s="159"/>
      <c r="AI94" s="159"/>
      <c r="AJ94" s="159"/>
      <c r="AK94" s="159"/>
      <c r="AL94" s="159"/>
      <c r="AM94" s="159"/>
      <c r="AN94" s="161">
        <f>ROUNDUP($AG$94+$AV$94,2)</f>
        <v>0</v>
      </c>
      <c r="AO94" s="159"/>
      <c r="AP94" s="159"/>
      <c r="AQ94" s="23"/>
      <c r="AS94" s="84">
        <v>0</v>
      </c>
      <c r="AT94" s="85" t="s">
        <v>86</v>
      </c>
      <c r="AU94" s="85" t="s">
        <v>36</v>
      </c>
      <c r="AV94" s="86">
        <f>ROUNDUP(IF($AU$94="základní",$AG$94*$L$28,IF($AU$94="snížená",$AG$94*$L$29,0)),2)</f>
        <v>0</v>
      </c>
      <c r="BV94" s="7" t="s">
        <v>87</v>
      </c>
      <c r="BY94" s="83">
        <f>IF($AU$94="základní",$AV$94,0)</f>
        <v>0</v>
      </c>
      <c r="BZ94" s="83">
        <f>IF($AU$94="snížená",$AV$94,0)</f>
        <v>0</v>
      </c>
      <c r="CA94" s="83">
        <v>0</v>
      </c>
      <c r="CB94" s="83">
        <v>0</v>
      </c>
      <c r="CC94" s="83">
        <v>0</v>
      </c>
      <c r="CD94" s="83">
        <f>IF($AU$94="základní",$AG$94,0)</f>
        <v>0</v>
      </c>
      <c r="CE94" s="83">
        <f>IF($AU$94="snížená",$AG$94,0)</f>
        <v>0</v>
      </c>
      <c r="CF94" s="83">
        <f>IF($AU$94="zákl. přenesená",$AG$94,0)</f>
        <v>0</v>
      </c>
      <c r="CG94" s="83">
        <f>IF($AU$94="sníž. přenesená",$AG$94,0)</f>
        <v>0</v>
      </c>
      <c r="CH94" s="83">
        <f>IF($AU$94="nulová",$AG$94,0)</f>
        <v>0</v>
      </c>
      <c r="CI94" s="7">
        <f>IF($AU$94="základní",1,IF($AU$94="snížená",2,IF($AU$94="zákl. přenesená",4,IF($AU$94="sníž. přenesená",5,3))))</f>
        <v>1</v>
      </c>
      <c r="CJ94" s="7">
        <f>IF($AT$94="stavební čast",1,IF(8894="investiční čast",2,3))</f>
        <v>1</v>
      </c>
      <c r="CK94" s="7" t="str">
        <f>IF($D$94="Vyplň vlastní","","x")</f>
        <v>x</v>
      </c>
    </row>
    <row r="95" spans="2:89" s="7" customFormat="1" ht="21" customHeight="1">
      <c r="B95" s="22"/>
      <c r="D95" s="79" t="s">
        <v>90</v>
      </c>
      <c r="AG95" s="160">
        <f>ROUNDUP($AG$87*$AS$95,2)</f>
        <v>0</v>
      </c>
      <c r="AH95" s="159"/>
      <c r="AI95" s="159"/>
      <c r="AJ95" s="159"/>
      <c r="AK95" s="159"/>
      <c r="AL95" s="159"/>
      <c r="AM95" s="159"/>
      <c r="AN95" s="161">
        <f>ROUNDUP($AG$95+$AV$95,2)</f>
        <v>0</v>
      </c>
      <c r="AO95" s="159"/>
      <c r="AP95" s="159"/>
      <c r="AQ95" s="23"/>
      <c r="AS95" s="84">
        <v>0</v>
      </c>
      <c r="AT95" s="85" t="s">
        <v>86</v>
      </c>
      <c r="AU95" s="85" t="s">
        <v>36</v>
      </c>
      <c r="AV95" s="86">
        <f>ROUNDUP(IF($AU$95="základní",$AG$95*$L$28,IF($AU$95="snížená",$AG$95*$L$29,0)),2)</f>
        <v>0</v>
      </c>
      <c r="BV95" s="7" t="s">
        <v>87</v>
      </c>
      <c r="BY95" s="83">
        <f>IF($AU$95="základní",$AV$95,0)</f>
        <v>0</v>
      </c>
      <c r="BZ95" s="83">
        <f>IF($AU$95="snížená",$AV$95,0)</f>
        <v>0</v>
      </c>
      <c r="CA95" s="83">
        <v>0</v>
      </c>
      <c r="CB95" s="83">
        <v>0</v>
      </c>
      <c r="CC95" s="83">
        <v>0</v>
      </c>
      <c r="CD95" s="83">
        <f>IF($AU$95="základní",$AG$95,0)</f>
        <v>0</v>
      </c>
      <c r="CE95" s="83">
        <f>IF($AU$95="snížená",$AG$95,0)</f>
        <v>0</v>
      </c>
      <c r="CF95" s="83">
        <f>IF($AU$95="zákl. přenesená",$AG$95,0)</f>
        <v>0</v>
      </c>
      <c r="CG95" s="83">
        <f>IF($AU$95="sníž. přenesená",$AG$95,0)</f>
        <v>0</v>
      </c>
      <c r="CH95" s="83">
        <f>IF($AU$95="nulová",$AG$95,0)</f>
        <v>0</v>
      </c>
      <c r="CI95" s="7">
        <f>IF($AU$95="základní",1,IF($AU$95="snížená",2,IF($AU$95="zákl. přenesená",4,IF($AU$95="sníž. přenesená",5,3))))</f>
        <v>1</v>
      </c>
      <c r="CJ95" s="7">
        <f>IF($AT$95="stavební čast",1,IF(8895="investiční čast",2,3))</f>
        <v>1</v>
      </c>
      <c r="CK95" s="7" t="str">
        <f>IF($D$95="Vyplň vlastní","","x")</f>
        <v>x</v>
      </c>
    </row>
    <row r="96" spans="2:89" s="7" customFormat="1" ht="21" customHeight="1">
      <c r="B96" s="22"/>
      <c r="D96" s="79" t="s">
        <v>91</v>
      </c>
      <c r="AG96" s="160">
        <f>ROUNDUP($AG$87*$AS$96,2)</f>
        <v>0</v>
      </c>
      <c r="AH96" s="159"/>
      <c r="AI96" s="159"/>
      <c r="AJ96" s="159"/>
      <c r="AK96" s="159"/>
      <c r="AL96" s="159"/>
      <c r="AM96" s="159"/>
      <c r="AN96" s="161">
        <f>ROUNDUP($AG$96+$AV$96,2)</f>
        <v>0</v>
      </c>
      <c r="AO96" s="159"/>
      <c r="AP96" s="159"/>
      <c r="AQ96" s="23"/>
      <c r="AS96" s="84">
        <v>0</v>
      </c>
      <c r="AT96" s="85" t="s">
        <v>86</v>
      </c>
      <c r="AU96" s="85" t="s">
        <v>36</v>
      </c>
      <c r="AV96" s="86">
        <f>ROUNDUP(IF($AU$96="základní",$AG$96*$L$28,IF($AU$96="snížená",$AG$96*$L$29,0)),2)</f>
        <v>0</v>
      </c>
      <c r="BV96" s="7" t="s">
        <v>87</v>
      </c>
      <c r="BY96" s="83">
        <f>IF($AU$96="základní",$AV$96,0)</f>
        <v>0</v>
      </c>
      <c r="BZ96" s="83">
        <f>IF($AU$96="snížená",$AV$96,0)</f>
        <v>0</v>
      </c>
      <c r="CA96" s="83">
        <v>0</v>
      </c>
      <c r="CB96" s="83">
        <v>0</v>
      </c>
      <c r="CC96" s="83">
        <v>0</v>
      </c>
      <c r="CD96" s="83">
        <f>IF($AU$96="základní",$AG$96,0)</f>
        <v>0</v>
      </c>
      <c r="CE96" s="83">
        <f>IF($AU$96="snížená",$AG$96,0)</f>
        <v>0</v>
      </c>
      <c r="CF96" s="83">
        <f>IF($AU$96="zákl. přenesená",$AG$96,0)</f>
        <v>0</v>
      </c>
      <c r="CG96" s="83">
        <f>IF($AU$96="sníž. přenesená",$AG$96,0)</f>
        <v>0</v>
      </c>
      <c r="CH96" s="83">
        <f>IF($AU$96="nulová",$AG$96,0)</f>
        <v>0</v>
      </c>
      <c r="CI96" s="7">
        <f>IF($AU$96="základní",1,IF($AU$96="snížená",2,IF($AU$96="zákl. přenesená",4,IF($AU$96="sníž. přenesená",5,3))))</f>
        <v>1</v>
      </c>
      <c r="CJ96" s="7">
        <f>IF($AT$96="stavební čast",1,IF(8896="investiční čast",2,3))</f>
        <v>1</v>
      </c>
      <c r="CK96" s="7" t="str">
        <f>IF($D$96="Vyplň vlastní","","x")</f>
        <v>x</v>
      </c>
    </row>
    <row r="97" spans="2:89" s="7" customFormat="1" ht="21" customHeight="1">
      <c r="B97" s="22"/>
      <c r="D97" s="79" t="s">
        <v>92</v>
      </c>
      <c r="AG97" s="160">
        <f>ROUNDUP($AG$87*$AS$97,2)</f>
        <v>0</v>
      </c>
      <c r="AH97" s="159"/>
      <c r="AI97" s="159"/>
      <c r="AJ97" s="159"/>
      <c r="AK97" s="159"/>
      <c r="AL97" s="159"/>
      <c r="AM97" s="159"/>
      <c r="AN97" s="161">
        <f>ROUNDUP($AG$97+$AV$97,2)</f>
        <v>0</v>
      </c>
      <c r="AO97" s="159"/>
      <c r="AP97" s="159"/>
      <c r="AQ97" s="23"/>
      <c r="AS97" s="84">
        <v>0</v>
      </c>
      <c r="AT97" s="85" t="s">
        <v>86</v>
      </c>
      <c r="AU97" s="85" t="s">
        <v>36</v>
      </c>
      <c r="AV97" s="86">
        <f>ROUNDUP(IF($AU$97="základní",$AG$97*$L$28,IF($AU$97="snížená",$AG$97*$L$29,0)),2)</f>
        <v>0</v>
      </c>
      <c r="BV97" s="7" t="s">
        <v>87</v>
      </c>
      <c r="BY97" s="83">
        <f>IF($AU$97="základní",$AV$97,0)</f>
        <v>0</v>
      </c>
      <c r="BZ97" s="83">
        <f>IF($AU$97="snížená",$AV$97,0)</f>
        <v>0</v>
      </c>
      <c r="CA97" s="83">
        <v>0</v>
      </c>
      <c r="CB97" s="83">
        <v>0</v>
      </c>
      <c r="CC97" s="83">
        <v>0</v>
      </c>
      <c r="CD97" s="83">
        <f>IF($AU$97="základní",$AG$97,0)</f>
        <v>0</v>
      </c>
      <c r="CE97" s="83">
        <f>IF($AU$97="snížená",$AG$97,0)</f>
        <v>0</v>
      </c>
      <c r="CF97" s="83">
        <f>IF($AU$97="zákl. přenesená",$AG$97,0)</f>
        <v>0</v>
      </c>
      <c r="CG97" s="83">
        <f>IF($AU$97="sníž. přenesená",$AG$97,0)</f>
        <v>0</v>
      </c>
      <c r="CH97" s="83">
        <f>IF($AU$97="nulová",$AG$97,0)</f>
        <v>0</v>
      </c>
      <c r="CI97" s="7">
        <f>IF($AU$97="základní",1,IF($AU$97="snížená",2,IF($AU$97="zákl. přenesená",4,IF($AU$97="sníž. přenesená",5,3))))</f>
        <v>1</v>
      </c>
      <c r="CJ97" s="7">
        <f>IF($AT$97="stavební čast",1,IF(8897="investiční čast",2,3))</f>
        <v>1</v>
      </c>
      <c r="CK97" s="7" t="str">
        <f>IF($D$97="Vyplň vlastní","","x")</f>
        <v>x</v>
      </c>
    </row>
    <row r="98" spans="2:89" s="7" customFormat="1" ht="21" customHeight="1">
      <c r="B98" s="22"/>
      <c r="D98" s="79" t="s">
        <v>529</v>
      </c>
      <c r="AA98" s="7" t="s">
        <v>530</v>
      </c>
      <c r="AG98" s="160">
        <v>0</v>
      </c>
      <c r="AH98" s="159"/>
      <c r="AI98" s="159"/>
      <c r="AJ98" s="159"/>
      <c r="AK98" s="159"/>
      <c r="AL98" s="159"/>
      <c r="AM98" s="159"/>
      <c r="AN98" s="161">
        <f>ROUNDUP($AG$98+$AV$98,2)</f>
        <v>0</v>
      </c>
      <c r="AO98" s="159"/>
      <c r="AP98" s="159"/>
      <c r="AQ98" s="23"/>
      <c r="AS98" s="84">
        <v>0</v>
      </c>
      <c r="AT98" s="85" t="s">
        <v>86</v>
      </c>
      <c r="AU98" s="85" t="s">
        <v>36</v>
      </c>
      <c r="AV98" s="86">
        <f>ROUNDUP(IF($AU$98="základní",$AG$98*$L$28,IF($AU$98="snížená",$AG$98*$L$29,0)),2)</f>
        <v>0</v>
      </c>
      <c r="BV98" s="7" t="s">
        <v>87</v>
      </c>
      <c r="BY98" s="83">
        <f>IF($AU$98="základní",$AV$98,0)</f>
        <v>0</v>
      </c>
      <c r="BZ98" s="83">
        <f>IF($AU$98="snížená",$AV$98,0)</f>
        <v>0</v>
      </c>
      <c r="CA98" s="83">
        <v>0</v>
      </c>
      <c r="CB98" s="83">
        <v>0</v>
      </c>
      <c r="CC98" s="83">
        <v>0</v>
      </c>
      <c r="CD98" s="83">
        <f>IF($AU$98="základní",$AG$98,0)</f>
        <v>0</v>
      </c>
      <c r="CE98" s="83">
        <f>IF($AU$98="snížená",$AG$98,0)</f>
        <v>0</v>
      </c>
      <c r="CF98" s="83">
        <f>IF($AU$98="zákl. přenesená",$AG$98,0)</f>
        <v>0</v>
      </c>
      <c r="CG98" s="83">
        <f>IF($AU$98="sníž. přenesená",$AG$98,0)</f>
        <v>0</v>
      </c>
      <c r="CH98" s="83">
        <f>IF($AU$98="nulová",$AG$98,0)</f>
        <v>0</v>
      </c>
      <c r="CI98" s="7">
        <f>IF($AU$98="základní",1,IF($AU$98="snížená",2,IF($AU$98="zákl. přenesená",4,IF($AU$98="sníž. přenesená",5,3))))</f>
        <v>1</v>
      </c>
      <c r="CJ98" s="7">
        <f>IF($AT$98="stavební čast",1,IF(8898="investiční čast",2,3))</f>
        <v>1</v>
      </c>
      <c r="CK98" s="7" t="str">
        <f>IF($D$98="Vyplň vlastní","","x")</f>
        <v>x</v>
      </c>
    </row>
    <row r="99" spans="2:89" s="7" customFormat="1" ht="21" customHeight="1">
      <c r="B99" s="22"/>
      <c r="D99" s="79" t="s">
        <v>93</v>
      </c>
      <c r="AG99" s="160">
        <f>ROUNDUP($AG$87*$AS$99,2)</f>
        <v>0</v>
      </c>
      <c r="AH99" s="159"/>
      <c r="AI99" s="159"/>
      <c r="AJ99" s="159"/>
      <c r="AK99" s="159"/>
      <c r="AL99" s="159"/>
      <c r="AM99" s="159"/>
      <c r="AN99" s="161">
        <f>ROUNDUP($AG$99+$AV$99,2)</f>
        <v>0</v>
      </c>
      <c r="AO99" s="159"/>
      <c r="AP99" s="159"/>
      <c r="AQ99" s="23"/>
      <c r="AS99" s="84">
        <v>0</v>
      </c>
      <c r="AT99" s="85" t="s">
        <v>86</v>
      </c>
      <c r="AU99" s="85" t="s">
        <v>36</v>
      </c>
      <c r="AV99" s="86">
        <f>ROUNDUP(IF($AU$99="základní",$AG$99*$L$28,IF($AU$99="snížená",$AG$99*$L$29,0)),2)</f>
        <v>0</v>
      </c>
      <c r="BV99" s="7" t="s">
        <v>87</v>
      </c>
      <c r="BY99" s="83">
        <f>IF($AU$99="základní",$AV$99,0)</f>
        <v>0</v>
      </c>
      <c r="BZ99" s="83">
        <f>IF($AU$99="snížená",$AV$99,0)</f>
        <v>0</v>
      </c>
      <c r="CA99" s="83">
        <v>0</v>
      </c>
      <c r="CB99" s="83">
        <v>0</v>
      </c>
      <c r="CC99" s="83">
        <v>0</v>
      </c>
      <c r="CD99" s="83">
        <f>IF($AU$99="základní",$AG$99,0)</f>
        <v>0</v>
      </c>
      <c r="CE99" s="83">
        <f>IF($AU$99="snížená",$AG$99,0)</f>
        <v>0</v>
      </c>
      <c r="CF99" s="83">
        <f>IF($AU$99="zákl. přenesená",$AG$99,0)</f>
        <v>0</v>
      </c>
      <c r="CG99" s="83">
        <f>IF($AU$99="sníž. přenesená",$AG$99,0)</f>
        <v>0</v>
      </c>
      <c r="CH99" s="83">
        <f>IF($AU$99="nulová",$AG$99,0)</f>
        <v>0</v>
      </c>
      <c r="CI99" s="7">
        <f>IF($AU$99="základní",1,IF($AU$99="snížená",2,IF($AU$99="zákl. přenesená",4,IF($AU$99="sníž. přenesená",5,3))))</f>
        <v>1</v>
      </c>
      <c r="CJ99" s="7">
        <f>IF($AT$99="stavební čast",1,IF(8899="investiční čast",2,3))</f>
        <v>1</v>
      </c>
      <c r="CK99" s="7" t="str">
        <f>IF($D$99="Vyplň vlastní","","x")</f>
        <v>x</v>
      </c>
    </row>
    <row r="100" spans="2:89" s="7" customFormat="1" ht="21" customHeight="1">
      <c r="B100" s="22"/>
      <c r="D100" s="79" t="s">
        <v>94</v>
      </c>
      <c r="AG100" s="160">
        <f>ROUNDUP($AG$87*$AS$100,2)</f>
        <v>0</v>
      </c>
      <c r="AH100" s="159"/>
      <c r="AI100" s="159"/>
      <c r="AJ100" s="159"/>
      <c r="AK100" s="159"/>
      <c r="AL100" s="159"/>
      <c r="AM100" s="159"/>
      <c r="AN100" s="161">
        <f>ROUNDUP($AG$100+$AV$100,2)</f>
        <v>0</v>
      </c>
      <c r="AO100" s="159"/>
      <c r="AP100" s="159"/>
      <c r="AQ100" s="23"/>
      <c r="AS100" s="84">
        <v>0</v>
      </c>
      <c r="AT100" s="85" t="s">
        <v>86</v>
      </c>
      <c r="AU100" s="85" t="s">
        <v>36</v>
      </c>
      <c r="AV100" s="86">
        <f>ROUNDUP(IF($AU$100="základní",$AG$100*$L$28,IF($AU$100="snížená",$AG$100*$L$29,0)),2)</f>
        <v>0</v>
      </c>
      <c r="BV100" s="7" t="s">
        <v>87</v>
      </c>
      <c r="BY100" s="83">
        <f>IF($AU$100="základní",$AV$100,0)</f>
        <v>0</v>
      </c>
      <c r="BZ100" s="83">
        <f>IF($AU$100="snížená",$AV$100,0)</f>
        <v>0</v>
      </c>
      <c r="CA100" s="83">
        <v>0</v>
      </c>
      <c r="CB100" s="83">
        <v>0</v>
      </c>
      <c r="CC100" s="83">
        <v>0</v>
      </c>
      <c r="CD100" s="83">
        <f>IF($AU$100="základní",$AG$100,0)</f>
        <v>0</v>
      </c>
      <c r="CE100" s="83">
        <f>IF($AU$100="snížená",$AG$100,0)</f>
        <v>0</v>
      </c>
      <c r="CF100" s="83">
        <f>IF($AU$100="zákl. přenesená",$AG$100,0)</f>
        <v>0</v>
      </c>
      <c r="CG100" s="83">
        <f>IF($AU$100="sníž. přenesená",$AG$100,0)</f>
        <v>0</v>
      </c>
      <c r="CH100" s="83">
        <f>IF($AU$100="nulová",$AG$100,0)</f>
        <v>0</v>
      </c>
      <c r="CI100" s="7">
        <f>IF($AU$100="základní",1,IF($AU$100="snížená",2,IF($AU$100="zákl. přenesená",4,IF($AU$100="sníž. přenesená",5,3))))</f>
        <v>1</v>
      </c>
      <c r="CJ100" s="7">
        <f>IF($AT$100="stavební čast",1,IF(88100="investiční čast",2,3))</f>
        <v>1</v>
      </c>
      <c r="CK100" s="7" t="str">
        <f>IF($D$100="Vyplň vlastní","","x")</f>
        <v>x</v>
      </c>
    </row>
    <row r="101" spans="2:89" s="7" customFormat="1" ht="21" customHeight="1">
      <c r="B101" s="22"/>
      <c r="D101" s="79" t="s">
        <v>95</v>
      </c>
      <c r="AG101" s="160">
        <f>ROUNDUP($AG$87*$AS$101,2)</f>
        <v>0</v>
      </c>
      <c r="AH101" s="159"/>
      <c r="AI101" s="159"/>
      <c r="AJ101" s="159"/>
      <c r="AK101" s="159"/>
      <c r="AL101" s="159"/>
      <c r="AM101" s="159"/>
      <c r="AN101" s="161">
        <f>ROUNDUP($AG$101+$AV$101,2)</f>
        <v>0</v>
      </c>
      <c r="AO101" s="159"/>
      <c r="AP101" s="159"/>
      <c r="AQ101" s="23"/>
      <c r="AS101" s="84">
        <v>0</v>
      </c>
      <c r="AT101" s="85" t="s">
        <v>86</v>
      </c>
      <c r="AU101" s="85" t="s">
        <v>36</v>
      </c>
      <c r="AV101" s="86">
        <f>ROUNDUP(IF($AU$101="základní",$AG$101*$L$28,IF($AU$101="snížená",$AG$101*$L$29,0)),2)</f>
        <v>0</v>
      </c>
      <c r="BV101" s="7" t="s">
        <v>87</v>
      </c>
      <c r="BY101" s="83">
        <f>IF($AU$101="základní",$AV$101,0)</f>
        <v>0</v>
      </c>
      <c r="BZ101" s="83">
        <f>IF($AU$101="snížená",$AV$101,0)</f>
        <v>0</v>
      </c>
      <c r="CA101" s="83">
        <v>0</v>
      </c>
      <c r="CB101" s="83">
        <v>0</v>
      </c>
      <c r="CC101" s="83">
        <v>0</v>
      </c>
      <c r="CD101" s="83">
        <f>IF($AU$101="základní",$AG$101,0)</f>
        <v>0</v>
      </c>
      <c r="CE101" s="83">
        <f>IF($AU$101="snížená",$AG$101,0)</f>
        <v>0</v>
      </c>
      <c r="CF101" s="83">
        <f>IF($AU$101="zákl. přenesená",$AG$101,0)</f>
        <v>0</v>
      </c>
      <c r="CG101" s="83">
        <f>IF($AU$101="sníž. přenesená",$AG$101,0)</f>
        <v>0</v>
      </c>
      <c r="CH101" s="83">
        <f>IF($AU$101="nulová",$AG$101,0)</f>
        <v>0</v>
      </c>
      <c r="CI101" s="7">
        <f>IF($AU$101="základní",1,IF($AU$101="snížená",2,IF($AU$101="zákl. přenesená",4,IF($AU$101="sníž. přenesená",5,3))))</f>
        <v>1</v>
      </c>
      <c r="CJ101" s="7">
        <f>IF($AT$101="stavební čast",1,IF(88101="investiční čast",2,3))</f>
        <v>1</v>
      </c>
      <c r="CK101" s="7" t="str">
        <f>IF($D$101="Vyplň vlastní","","x")</f>
        <v>x</v>
      </c>
    </row>
    <row r="102" spans="2:89" s="7" customFormat="1" ht="21" customHeight="1">
      <c r="B102" s="22"/>
      <c r="D102" s="158" t="s">
        <v>96</v>
      </c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G102" s="160">
        <f>$AG$87*$AS$102</f>
        <v>0</v>
      </c>
      <c r="AH102" s="159"/>
      <c r="AI102" s="159"/>
      <c r="AJ102" s="159"/>
      <c r="AK102" s="159"/>
      <c r="AL102" s="159"/>
      <c r="AM102" s="159"/>
      <c r="AN102" s="161">
        <f>$AG$102+$AV$102</f>
        <v>0</v>
      </c>
      <c r="AO102" s="159"/>
      <c r="AP102" s="159"/>
      <c r="AQ102" s="23"/>
      <c r="AS102" s="84">
        <v>0</v>
      </c>
      <c r="AT102" s="85" t="s">
        <v>86</v>
      </c>
      <c r="AU102" s="85" t="s">
        <v>36</v>
      </c>
      <c r="AV102" s="86">
        <f>ROUNDUP(IF($AU$102="nulová",0,IF(OR($AU$102="základní",$AU$102="zákl. přenesená"),$AG$102*$L$28,$AG$102*$L$29)),1)</f>
        <v>0</v>
      </c>
      <c r="BV102" s="7" t="s">
        <v>97</v>
      </c>
      <c r="BY102" s="83">
        <f>IF($AU$102="základní",$AV$102,0)</f>
        <v>0</v>
      </c>
      <c r="BZ102" s="83">
        <f>IF($AU$102="snížená",$AV$102,0)</f>
        <v>0</v>
      </c>
      <c r="CA102" s="83">
        <f>IF($AU$102="zákl. přenesená",$AV$102,0)</f>
        <v>0</v>
      </c>
      <c r="CB102" s="83">
        <f>IF($AU$102="sníž. přenesená",$AV$102,0)</f>
        <v>0</v>
      </c>
      <c r="CC102" s="83">
        <f>IF($AU$102="nulová",$AV$102,0)</f>
        <v>0</v>
      </c>
      <c r="CD102" s="83">
        <f>IF($AU$102="základní",$AG$102,0)</f>
        <v>0</v>
      </c>
      <c r="CE102" s="83">
        <f>IF($AU$102="snížená",$AG$102,0)</f>
        <v>0</v>
      </c>
      <c r="CF102" s="83">
        <f>IF($AU$102="zákl. přenesená",$AG$102,0)</f>
        <v>0</v>
      </c>
      <c r="CG102" s="83">
        <f>IF($AU$102="sníž. přenesená",$AG$102,0)</f>
        <v>0</v>
      </c>
      <c r="CH102" s="83">
        <f>IF($AU$102="nulová",$AG$102,0)</f>
        <v>0</v>
      </c>
      <c r="CI102" s="7">
        <f>IF($AU$102="základní",1,IF($AU$102="snížená",2,IF($AU$102="zákl. přenesená",4,IF($AU$102="sníž. přenesená",5,3))))</f>
        <v>1</v>
      </c>
      <c r="CJ102" s="7">
        <f>IF($AT$102="stavební čast",1,IF(88102="investiční čast",2,3))</f>
        <v>1</v>
      </c>
      <c r="CK102" s="7">
        <f>IF($D$102="Vyplň vlastní","","x")</f>
      </c>
    </row>
    <row r="103" spans="2:89" s="7" customFormat="1" ht="21" customHeight="1">
      <c r="B103" s="22"/>
      <c r="D103" s="158" t="s">
        <v>96</v>
      </c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G103" s="160">
        <f>$AG$87*$AS$103</f>
        <v>0</v>
      </c>
      <c r="AH103" s="159"/>
      <c r="AI103" s="159"/>
      <c r="AJ103" s="159"/>
      <c r="AK103" s="159"/>
      <c r="AL103" s="159"/>
      <c r="AM103" s="159"/>
      <c r="AN103" s="161">
        <f>$AG$103+$AV$103</f>
        <v>0</v>
      </c>
      <c r="AO103" s="159"/>
      <c r="AP103" s="159"/>
      <c r="AQ103" s="23"/>
      <c r="AS103" s="84">
        <v>0</v>
      </c>
      <c r="AT103" s="85" t="s">
        <v>86</v>
      </c>
      <c r="AU103" s="85" t="s">
        <v>36</v>
      </c>
      <c r="AV103" s="86">
        <f>ROUNDUP(IF($AU$103="nulová",0,IF(OR($AU$103="základní",$AU$103="zákl. přenesená"),$AG$103*$L$28,$AG$103*$L$29)),1)</f>
        <v>0</v>
      </c>
      <c r="BV103" s="7" t="s">
        <v>97</v>
      </c>
      <c r="BY103" s="83">
        <f>IF($AU$103="základní",$AV$103,0)</f>
        <v>0</v>
      </c>
      <c r="BZ103" s="83">
        <f>IF($AU$103="snížená",$AV$103,0)</f>
        <v>0</v>
      </c>
      <c r="CA103" s="83">
        <f>IF($AU$103="zákl. přenesená",$AV$103,0)</f>
        <v>0</v>
      </c>
      <c r="CB103" s="83">
        <f>IF($AU$103="sníž. přenesená",$AV$103,0)</f>
        <v>0</v>
      </c>
      <c r="CC103" s="83">
        <f>IF($AU$103="nulová",$AV$103,0)</f>
        <v>0</v>
      </c>
      <c r="CD103" s="83">
        <f>IF($AU$103="základní",$AG$103,0)</f>
        <v>0</v>
      </c>
      <c r="CE103" s="83">
        <f>IF($AU$103="snížená",$AG$103,0)</f>
        <v>0</v>
      </c>
      <c r="CF103" s="83">
        <f>IF($AU$103="zákl. přenesená",$AG$103,0)</f>
        <v>0</v>
      </c>
      <c r="CG103" s="83">
        <f>IF($AU$103="sníž. přenesená",$AG$103,0)</f>
        <v>0</v>
      </c>
      <c r="CH103" s="83">
        <f>IF($AU$103="nulová",$AG$103,0)</f>
        <v>0</v>
      </c>
      <c r="CI103" s="7">
        <f>IF($AU$103="základní",1,IF($AU$103="snížená",2,IF($AU$103="zákl. přenesená",4,IF($AU$103="sníž. přenesená",5,3))))</f>
        <v>1</v>
      </c>
      <c r="CJ103" s="7">
        <f>IF($AT$103="stavební čast",1,IF(88103="investiční čast",2,3))</f>
        <v>1</v>
      </c>
      <c r="CK103" s="7">
        <f>IF($D$103="Vyplň vlastní","","x")</f>
      </c>
    </row>
    <row r="104" spans="2:89" s="7" customFormat="1" ht="21" customHeight="1">
      <c r="B104" s="22"/>
      <c r="D104" s="158" t="s">
        <v>96</v>
      </c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G104" s="160">
        <f>$AG$87*$AS$104</f>
        <v>0</v>
      </c>
      <c r="AH104" s="159"/>
      <c r="AI104" s="159"/>
      <c r="AJ104" s="159"/>
      <c r="AK104" s="159"/>
      <c r="AL104" s="159"/>
      <c r="AM104" s="159"/>
      <c r="AN104" s="161">
        <f>$AG$104+$AV$104</f>
        <v>0</v>
      </c>
      <c r="AO104" s="159"/>
      <c r="AP104" s="159"/>
      <c r="AQ104" s="23"/>
      <c r="AS104" s="87">
        <v>0</v>
      </c>
      <c r="AT104" s="88" t="s">
        <v>86</v>
      </c>
      <c r="AU104" s="88" t="s">
        <v>36</v>
      </c>
      <c r="AV104" s="89">
        <f>ROUNDUP(IF($AU$104="nulová",0,IF(OR($AU$104="základní",$AU$104="zákl. přenesená"),$AG$104*$L$28,$AG$104*$L$29)),1)</f>
        <v>0</v>
      </c>
      <c r="BV104" s="7" t="s">
        <v>97</v>
      </c>
      <c r="BY104" s="83">
        <f>IF($AU$104="základní",$AV$104,0)</f>
        <v>0</v>
      </c>
      <c r="BZ104" s="83">
        <f>IF($AU$104="snížená",$AV$104,0)</f>
        <v>0</v>
      </c>
      <c r="CA104" s="83">
        <f>IF($AU$104="zákl. přenesená",$AV$104,0)</f>
        <v>0</v>
      </c>
      <c r="CB104" s="83">
        <f>IF($AU$104="sníž. přenesená",$AV$104,0)</f>
        <v>0</v>
      </c>
      <c r="CC104" s="83">
        <f>IF($AU$104="nulová",$AV$104,0)</f>
        <v>0</v>
      </c>
      <c r="CD104" s="83">
        <f>IF($AU$104="základní",$AG$104,0)</f>
        <v>0</v>
      </c>
      <c r="CE104" s="83">
        <f>IF($AU$104="snížená",$AG$104,0)</f>
        <v>0</v>
      </c>
      <c r="CF104" s="83">
        <f>IF($AU$104="zákl. přenesená",$AG$104,0)</f>
        <v>0</v>
      </c>
      <c r="CG104" s="83">
        <f>IF($AU$104="sníž. přenesená",$AG$104,0)</f>
        <v>0</v>
      </c>
      <c r="CH104" s="83">
        <f>IF($AU$104="nulová",$AG$104,0)</f>
        <v>0</v>
      </c>
      <c r="CI104" s="7">
        <f>IF($AU$104="základní",1,IF($AU$104="snížená",2,IF($AU$104="zákl. přenesená",4,IF($AU$104="sníž. přenesená",5,3))))</f>
        <v>1</v>
      </c>
      <c r="CJ104" s="7">
        <f>IF($AT$104="stavební čast",1,IF(88104="investiční čast",2,3))</f>
        <v>1</v>
      </c>
      <c r="CK104" s="7">
        <f>IF($D$104="Vyplň vlastní","","x")</f>
      </c>
    </row>
    <row r="105" spans="2:43" s="7" customFormat="1" ht="12" customHeight="1">
      <c r="B105" s="22"/>
      <c r="AQ105" s="23"/>
    </row>
    <row r="106" spans="2:43" s="7" customFormat="1" ht="30.75" customHeight="1">
      <c r="B106" s="22"/>
      <c r="C106" s="90" t="s">
        <v>98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154">
        <f>ROUNDUP($AG$87+$AG$91,2)</f>
        <v>0</v>
      </c>
      <c r="AH106" s="155"/>
      <c r="AI106" s="155"/>
      <c r="AJ106" s="155"/>
      <c r="AK106" s="155"/>
      <c r="AL106" s="155"/>
      <c r="AM106" s="155"/>
      <c r="AN106" s="154">
        <f>ROUNDUP($AN$87+$AN$91,2)</f>
        <v>0</v>
      </c>
      <c r="AO106" s="155"/>
      <c r="AP106" s="155"/>
      <c r="AQ106" s="23"/>
    </row>
    <row r="107" spans="2:43" s="7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6"/>
    </row>
  </sheetData>
  <sheetProtection sheet="1"/>
  <mergeCells count="78">
    <mergeCell ref="BE5:BE34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C2:AP2"/>
    <mergeCell ref="C4:AP4"/>
    <mergeCell ref="L30:O30"/>
    <mergeCell ref="W30:AE30"/>
    <mergeCell ref="AK30:AO30"/>
    <mergeCell ref="L31:O31"/>
    <mergeCell ref="W31:AE31"/>
    <mergeCell ref="AK31:AO31"/>
    <mergeCell ref="AS82:AT84"/>
    <mergeCell ref="AM83:AP83"/>
    <mergeCell ref="L32:O32"/>
    <mergeCell ref="W32:AE32"/>
    <mergeCell ref="AK32:AO32"/>
    <mergeCell ref="X34:AB34"/>
    <mergeCell ref="AK34:AO34"/>
    <mergeCell ref="C85:G85"/>
    <mergeCell ref="I85:AF85"/>
    <mergeCell ref="AG85:AM85"/>
    <mergeCell ref="AN85:AP85"/>
    <mergeCell ref="C76:AP76"/>
    <mergeCell ref="L78:AO78"/>
    <mergeCell ref="AM82:AP82"/>
    <mergeCell ref="D89:H89"/>
    <mergeCell ref="J89:AF89"/>
    <mergeCell ref="AN88:AP88"/>
    <mergeCell ref="AG88:AM88"/>
    <mergeCell ref="D88:H88"/>
    <mergeCell ref="J88:AF88"/>
    <mergeCell ref="AG92:AM92"/>
    <mergeCell ref="AN92:AP92"/>
    <mergeCell ref="AG93:AM93"/>
    <mergeCell ref="AN93:AP93"/>
    <mergeCell ref="AN89:AP89"/>
    <mergeCell ref="AG89:AM89"/>
    <mergeCell ref="AG96:AM96"/>
    <mergeCell ref="AN96:AP96"/>
    <mergeCell ref="AG97:AM97"/>
    <mergeCell ref="AN97:AP97"/>
    <mergeCell ref="AG94:AM94"/>
    <mergeCell ref="AN94:AP94"/>
    <mergeCell ref="AG95:AM95"/>
    <mergeCell ref="AN95:AP95"/>
    <mergeCell ref="AG100:AM100"/>
    <mergeCell ref="AN100:AP100"/>
    <mergeCell ref="AG101:AM101"/>
    <mergeCell ref="AN101:AP101"/>
    <mergeCell ref="AG98:AM98"/>
    <mergeCell ref="AN98:AP98"/>
    <mergeCell ref="AG99:AM99"/>
    <mergeCell ref="AN99:AP99"/>
    <mergeCell ref="D102:AB102"/>
    <mergeCell ref="AG102:AM102"/>
    <mergeCell ref="AN102:AP102"/>
    <mergeCell ref="D103:AB103"/>
    <mergeCell ref="AG103:AM103"/>
    <mergeCell ref="AN103:AP103"/>
    <mergeCell ref="AG106:AM106"/>
    <mergeCell ref="AN106:AP106"/>
    <mergeCell ref="AR2:BE2"/>
    <mergeCell ref="D104:AB104"/>
    <mergeCell ref="AG104:AM104"/>
    <mergeCell ref="AN104:AP104"/>
    <mergeCell ref="AG87:AM87"/>
    <mergeCell ref="AN87:AP87"/>
    <mergeCell ref="AG91:AM91"/>
    <mergeCell ref="AN91:AP91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showGridLines="0" zoomScalePageLayoutView="0" workbookViewId="0" topLeftCell="A1">
      <pane ySplit="1" topLeftCell="A147" activePane="bottomLeft" state="frozen"/>
      <selection pane="topLeft" activeCell="A1" sqref="A1"/>
      <selection pane="bottomLeft" activeCell="N93" sqref="N93:Q9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5"/>
      <c r="H1" s="198"/>
      <c r="I1" s="199"/>
      <c r="J1" s="199"/>
      <c r="K1" s="199"/>
      <c r="L1" s="5"/>
      <c r="M1" s="5"/>
      <c r="N1" s="5"/>
      <c r="O1" s="6" t="s">
        <v>99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3" t="s">
        <v>4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S2" s="156" t="s">
        <v>5</v>
      </c>
      <c r="T2" s="157"/>
      <c r="U2" s="157"/>
      <c r="V2" s="157"/>
      <c r="W2" s="157"/>
      <c r="X2" s="157"/>
      <c r="Y2" s="157"/>
      <c r="Z2" s="157"/>
      <c r="AA2" s="157"/>
      <c r="AB2" s="157"/>
      <c r="AC2" s="157"/>
      <c r="AT2" s="2" t="s">
        <v>78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2" t="s">
        <v>100</v>
      </c>
    </row>
    <row r="4" spans="2:46" s="2" customFormat="1" ht="37.5" customHeight="1">
      <c r="B4" s="11"/>
      <c r="C4" s="172" t="s">
        <v>101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2"/>
      <c r="T4" s="13" t="s">
        <v>10</v>
      </c>
      <c r="AT4" s="2" t="s">
        <v>3</v>
      </c>
    </row>
    <row r="5" spans="2:18" s="2" customFormat="1" ht="7.5" customHeight="1">
      <c r="B5" s="11"/>
      <c r="R5" s="12"/>
    </row>
    <row r="6" spans="2:18" s="2" customFormat="1" ht="15.75" customHeight="1">
      <c r="B6" s="11"/>
      <c r="D6" s="16" t="s">
        <v>14</v>
      </c>
      <c r="F6" s="216" t="str">
        <f>'Rekapitulace stavby'!$K$6</f>
        <v>Zacharka - Oprava mostu přes potok Zacharka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R6" s="12"/>
    </row>
    <row r="7" spans="2:18" s="7" customFormat="1" ht="18.75" customHeight="1">
      <c r="B7" s="22"/>
      <c r="D7" s="15" t="s">
        <v>102</v>
      </c>
      <c r="F7" s="173" t="s">
        <v>103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R7" s="23"/>
    </row>
    <row r="8" spans="2:18" s="7" customFormat="1" ht="7.5" customHeight="1">
      <c r="B8" s="22"/>
      <c r="R8" s="23"/>
    </row>
    <row r="9" spans="2:18" s="7" customFormat="1" ht="15" customHeight="1">
      <c r="B9" s="22"/>
      <c r="D9" s="16" t="s">
        <v>18</v>
      </c>
      <c r="F9" s="17" t="s">
        <v>19</v>
      </c>
      <c r="M9" s="16" t="s">
        <v>20</v>
      </c>
      <c r="O9" s="223" t="str">
        <f>'Rekapitulace stavby'!$AN$8</f>
        <v>29.08.2013</v>
      </c>
      <c r="P9" s="159"/>
      <c r="R9" s="23"/>
    </row>
    <row r="10" spans="2:18" s="7" customFormat="1" ht="7.5" customHeight="1">
      <c r="B10" s="22"/>
      <c r="R10" s="23"/>
    </row>
    <row r="11" spans="2:18" s="7" customFormat="1" ht="15" customHeight="1">
      <c r="B11" s="22"/>
      <c r="D11" s="16" t="s">
        <v>24</v>
      </c>
      <c r="M11" s="16" t="s">
        <v>25</v>
      </c>
      <c r="O11" s="174">
        <f>IF('Rekapitulace stavby'!$AN$10="","",'Rekapitulace stavby'!$AN$10)</f>
      </c>
      <c r="P11" s="159"/>
      <c r="R11" s="23"/>
    </row>
    <row r="12" spans="2:18" s="7" customFormat="1" ht="18.75" customHeight="1">
      <c r="B12" s="22"/>
      <c r="E12" s="17" t="str">
        <f>IF('Rekapitulace stavby'!$E$11="","",'Rekapitulace stavby'!$E$11)</f>
        <v> </v>
      </c>
      <c r="M12" s="16" t="s">
        <v>26</v>
      </c>
      <c r="O12" s="174">
        <f>IF('Rekapitulace stavby'!$AN$11="","",'Rekapitulace stavby'!$AN$11)</f>
      </c>
      <c r="P12" s="159"/>
      <c r="R12" s="23"/>
    </row>
    <row r="13" spans="2:18" s="7" customFormat="1" ht="7.5" customHeight="1">
      <c r="B13" s="22"/>
      <c r="R13" s="23"/>
    </row>
    <row r="14" spans="2:18" s="7" customFormat="1" ht="15" customHeight="1">
      <c r="B14" s="22"/>
      <c r="D14" s="16" t="s">
        <v>27</v>
      </c>
      <c r="M14" s="16" t="s">
        <v>25</v>
      </c>
      <c r="O14" s="222" t="str">
        <f>IF('Rekapitulace stavby'!$AN$13="","",'Rekapitulace stavby'!$AN$13)</f>
        <v>Vyplň údaj</v>
      </c>
      <c r="P14" s="159"/>
      <c r="R14" s="23"/>
    </row>
    <row r="15" spans="2:18" s="7" customFormat="1" ht="18.75" customHeight="1">
      <c r="B15" s="22"/>
      <c r="E15" s="222" t="str">
        <f>IF('Rekapitulace stavby'!$E$14="","",'Rekapitulace stavby'!$E$14)</f>
        <v>Vyplň údaj</v>
      </c>
      <c r="F15" s="159"/>
      <c r="G15" s="159"/>
      <c r="H15" s="159"/>
      <c r="I15" s="159"/>
      <c r="J15" s="159"/>
      <c r="K15" s="159"/>
      <c r="L15" s="159"/>
      <c r="M15" s="16" t="s">
        <v>26</v>
      </c>
      <c r="O15" s="222" t="str">
        <f>IF('Rekapitulace stavby'!$AN$14="","",'Rekapitulace stavby'!$AN$14)</f>
        <v>Vyplň údaj</v>
      </c>
      <c r="P15" s="159"/>
      <c r="R15" s="23"/>
    </row>
    <row r="16" spans="2:18" s="7" customFormat="1" ht="7.5" customHeight="1">
      <c r="B16" s="22"/>
      <c r="R16" s="23"/>
    </row>
    <row r="17" spans="2:18" s="7" customFormat="1" ht="15" customHeight="1">
      <c r="B17" s="22"/>
      <c r="D17" s="16" t="s">
        <v>29</v>
      </c>
      <c r="M17" s="16" t="s">
        <v>25</v>
      </c>
      <c r="O17" s="174">
        <f>IF('Rekapitulace stavby'!$AN$16="","",'Rekapitulace stavby'!$AN$16)</f>
      </c>
      <c r="P17" s="159"/>
      <c r="R17" s="23"/>
    </row>
    <row r="18" spans="2:18" s="7" customFormat="1" ht="18.75" customHeight="1">
      <c r="B18" s="22"/>
      <c r="E18" s="17" t="str">
        <f>IF('Rekapitulace stavby'!$E$17="","",'Rekapitulace stavby'!$E$17)</f>
        <v> </v>
      </c>
      <c r="M18" s="16" t="s">
        <v>26</v>
      </c>
      <c r="O18" s="174">
        <f>IF('Rekapitulace stavby'!$AN$17="","",'Rekapitulace stavby'!$AN$17)</f>
      </c>
      <c r="P18" s="159"/>
      <c r="R18" s="23"/>
    </row>
    <row r="19" spans="2:18" s="7" customFormat="1" ht="7.5" customHeight="1">
      <c r="B19" s="22"/>
      <c r="R19" s="23"/>
    </row>
    <row r="20" spans="2:18" s="7" customFormat="1" ht="15" customHeight="1">
      <c r="B20" s="22"/>
      <c r="D20" s="16" t="s">
        <v>31</v>
      </c>
      <c r="M20" s="16" t="s">
        <v>25</v>
      </c>
      <c r="O20" s="174">
        <f>IF('Rekapitulace stavby'!$AN$19="","",'Rekapitulace stavby'!$AN$19)</f>
      </c>
      <c r="P20" s="159"/>
      <c r="R20" s="23"/>
    </row>
    <row r="21" spans="2:18" s="7" customFormat="1" ht="18.75" customHeight="1">
      <c r="B21" s="22"/>
      <c r="E21" s="17" t="str">
        <f>IF('Rekapitulace stavby'!$E$20="","",'Rekapitulace stavby'!$E$20)</f>
        <v> </v>
      </c>
      <c r="M21" s="16" t="s">
        <v>26</v>
      </c>
      <c r="O21" s="174">
        <f>IF('Rekapitulace stavby'!$AN$20="","",'Rekapitulace stavby'!$AN$20)</f>
      </c>
      <c r="P21" s="159"/>
      <c r="R21" s="23"/>
    </row>
    <row r="22" spans="2:18" s="7" customFormat="1" ht="7.5" customHeight="1">
      <c r="B22" s="22"/>
      <c r="R22" s="23"/>
    </row>
    <row r="23" spans="2:18" s="7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7" customFormat="1" ht="15" customHeight="1">
      <c r="B24" s="22"/>
      <c r="D24" s="91" t="s">
        <v>104</v>
      </c>
      <c r="M24" s="186">
        <f>$N$88</f>
        <v>0</v>
      </c>
      <c r="N24" s="159"/>
      <c r="O24" s="159"/>
      <c r="P24" s="159"/>
      <c r="R24" s="23"/>
    </row>
    <row r="25" spans="2:18" s="7" customFormat="1" ht="15" customHeight="1">
      <c r="B25" s="22"/>
      <c r="D25" s="21" t="s">
        <v>92</v>
      </c>
      <c r="M25" s="186">
        <f>$N$95</f>
        <v>0</v>
      </c>
      <c r="N25" s="159"/>
      <c r="O25" s="159"/>
      <c r="P25" s="159"/>
      <c r="R25" s="23"/>
    </row>
    <row r="26" spans="2:18" s="7" customFormat="1" ht="7.5" customHeight="1">
      <c r="B26" s="22"/>
      <c r="R26" s="23"/>
    </row>
    <row r="27" spans="2:18" s="7" customFormat="1" ht="26.25" customHeight="1">
      <c r="B27" s="22"/>
      <c r="D27" s="92" t="s">
        <v>34</v>
      </c>
      <c r="M27" s="221">
        <f>ROUNDUP($M$24+$M$25,2)</f>
        <v>0</v>
      </c>
      <c r="N27" s="159"/>
      <c r="O27" s="159"/>
      <c r="P27" s="159"/>
      <c r="R27" s="23"/>
    </row>
    <row r="28" spans="2:18" s="7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7" customFormat="1" ht="15" customHeight="1">
      <c r="B29" s="22"/>
      <c r="D29" s="27" t="s">
        <v>35</v>
      </c>
      <c r="E29" s="27" t="s">
        <v>36</v>
      </c>
      <c r="F29" s="28">
        <v>0.21</v>
      </c>
      <c r="G29" s="93" t="s">
        <v>37</v>
      </c>
      <c r="H29" s="220">
        <f>ROUNDUP((((SUM($BE$95:$BE$102)+SUM($BE$120:$BE$154))+SUM($BE$156:$BE$160))),2)</f>
        <v>0</v>
      </c>
      <c r="I29" s="159"/>
      <c r="J29" s="159"/>
      <c r="M29" s="220">
        <f>ROUNDUP((((SUM($BE$95:$BE$102)+SUM($BE$120:$BE$154))*$F$29)+SUM($BE$156:$BE$160)*$F$29),1)</f>
        <v>0</v>
      </c>
      <c r="N29" s="159"/>
      <c r="O29" s="159"/>
      <c r="P29" s="159"/>
      <c r="R29" s="23"/>
    </row>
    <row r="30" spans="2:18" s="7" customFormat="1" ht="15" customHeight="1">
      <c r="B30" s="22"/>
      <c r="E30" s="27" t="s">
        <v>38</v>
      </c>
      <c r="F30" s="28">
        <v>0.15</v>
      </c>
      <c r="G30" s="93" t="s">
        <v>37</v>
      </c>
      <c r="H30" s="220">
        <f>ROUNDUP((((SUM($BF$95:$BF$102)+SUM($BF$120:$BF$154))+SUM($BF$156:$BF$160))),2)</f>
        <v>0</v>
      </c>
      <c r="I30" s="159"/>
      <c r="J30" s="159"/>
      <c r="M30" s="220">
        <f>ROUNDUP((((SUM($BF$95:$BF$102)+SUM($BF$120:$BF$154))*$F$30)+SUM($BF$156:$BF$160)*$F$30),1)</f>
        <v>0</v>
      </c>
      <c r="N30" s="159"/>
      <c r="O30" s="159"/>
      <c r="P30" s="159"/>
      <c r="R30" s="23"/>
    </row>
    <row r="31" spans="2:18" s="7" customFormat="1" ht="15" customHeight="1" hidden="1">
      <c r="B31" s="22"/>
      <c r="E31" s="27" t="s">
        <v>39</v>
      </c>
      <c r="F31" s="28">
        <v>0.21</v>
      </c>
      <c r="G31" s="93" t="s">
        <v>37</v>
      </c>
      <c r="H31" s="220">
        <f>ROUNDUP((((SUM($BG$95:$BG$102)+SUM($BG$120:$BG$154))+SUM($BG$156:$BG$160))),2)</f>
        <v>0</v>
      </c>
      <c r="I31" s="159"/>
      <c r="J31" s="159"/>
      <c r="M31" s="220">
        <v>0</v>
      </c>
      <c r="N31" s="159"/>
      <c r="O31" s="159"/>
      <c r="P31" s="159"/>
      <c r="R31" s="23"/>
    </row>
    <row r="32" spans="2:18" s="7" customFormat="1" ht="15" customHeight="1" hidden="1">
      <c r="B32" s="22"/>
      <c r="E32" s="27" t="s">
        <v>40</v>
      </c>
      <c r="F32" s="28">
        <v>0.15</v>
      </c>
      <c r="G32" s="93" t="s">
        <v>37</v>
      </c>
      <c r="H32" s="220">
        <f>ROUNDUP((((SUM($BH$95:$BH$102)+SUM($BH$120:$BH$154))+SUM($BH$156:$BH$160))),2)</f>
        <v>0</v>
      </c>
      <c r="I32" s="159"/>
      <c r="J32" s="159"/>
      <c r="M32" s="220">
        <v>0</v>
      </c>
      <c r="N32" s="159"/>
      <c r="O32" s="159"/>
      <c r="P32" s="159"/>
      <c r="R32" s="23"/>
    </row>
    <row r="33" spans="2:18" s="7" customFormat="1" ht="15" customHeight="1" hidden="1">
      <c r="B33" s="22"/>
      <c r="E33" s="27" t="s">
        <v>41</v>
      </c>
      <c r="F33" s="28">
        <v>0</v>
      </c>
      <c r="G33" s="93" t="s">
        <v>37</v>
      </c>
      <c r="H33" s="220">
        <f>ROUNDUP((((SUM($BI$95:$BI$102)+SUM($BI$120:$BI$154))+SUM($BI$156:$BI$160))),2)</f>
        <v>0</v>
      </c>
      <c r="I33" s="159"/>
      <c r="J33" s="159"/>
      <c r="M33" s="220">
        <v>0</v>
      </c>
      <c r="N33" s="159"/>
      <c r="O33" s="159"/>
      <c r="P33" s="159"/>
      <c r="R33" s="23"/>
    </row>
    <row r="34" spans="2:18" s="7" customFormat="1" ht="7.5" customHeight="1">
      <c r="B34" s="22"/>
      <c r="R34" s="23"/>
    </row>
    <row r="35" spans="2:18" s="7" customFormat="1" ht="26.25" customHeight="1">
      <c r="B35" s="22"/>
      <c r="C35" s="31"/>
      <c r="D35" s="32" t="s">
        <v>42</v>
      </c>
      <c r="E35" s="33"/>
      <c r="F35" s="33"/>
      <c r="G35" s="94" t="s">
        <v>43</v>
      </c>
      <c r="H35" s="34" t="s">
        <v>44</v>
      </c>
      <c r="I35" s="33"/>
      <c r="J35" s="33"/>
      <c r="K35" s="33"/>
      <c r="L35" s="182">
        <f>ROUNDUP(SUM($M$27:$M$33),2)</f>
        <v>0</v>
      </c>
      <c r="M35" s="169"/>
      <c r="N35" s="169"/>
      <c r="O35" s="169"/>
      <c r="P35" s="171"/>
      <c r="Q35" s="31"/>
      <c r="R35" s="23"/>
    </row>
    <row r="36" spans="2:18" s="7" customFormat="1" ht="15" customHeight="1">
      <c r="B36" s="22"/>
      <c r="R36" s="23"/>
    </row>
    <row r="37" spans="2:18" s="7" customFormat="1" ht="15" customHeight="1">
      <c r="B37" s="22"/>
      <c r="R37" s="23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ht="14.25" customHeight="1">
      <c r="B49" s="11"/>
      <c r="R49" s="12"/>
    </row>
    <row r="50" spans="2:18" s="7" customFormat="1" ht="15.75" customHeight="1">
      <c r="B50" s="22"/>
      <c r="D50" s="35" t="s">
        <v>45</v>
      </c>
      <c r="E50" s="36"/>
      <c r="F50" s="36"/>
      <c r="G50" s="36"/>
      <c r="H50" s="37"/>
      <c r="J50" s="35" t="s">
        <v>46</v>
      </c>
      <c r="K50" s="36"/>
      <c r="L50" s="36"/>
      <c r="M50" s="36"/>
      <c r="N50" s="36"/>
      <c r="O50" s="36"/>
      <c r="P50" s="37"/>
      <c r="R50" s="23"/>
    </row>
    <row r="51" spans="2:18" ht="14.25" customHeight="1">
      <c r="B51" s="11"/>
      <c r="D51" s="38"/>
      <c r="H51" s="39"/>
      <c r="J51" s="38"/>
      <c r="P51" s="39"/>
      <c r="R51" s="12"/>
    </row>
    <row r="52" spans="2:18" ht="14.25" customHeight="1">
      <c r="B52" s="11"/>
      <c r="D52" s="38"/>
      <c r="H52" s="39"/>
      <c r="J52" s="38"/>
      <c r="P52" s="39"/>
      <c r="R52" s="12"/>
    </row>
    <row r="53" spans="2:18" ht="14.25" customHeight="1">
      <c r="B53" s="11"/>
      <c r="D53" s="38"/>
      <c r="H53" s="39"/>
      <c r="J53" s="38"/>
      <c r="P53" s="39"/>
      <c r="R53" s="12"/>
    </row>
    <row r="54" spans="2:18" ht="14.25" customHeight="1">
      <c r="B54" s="11"/>
      <c r="D54" s="38"/>
      <c r="H54" s="39"/>
      <c r="J54" s="38"/>
      <c r="P54" s="39"/>
      <c r="R54" s="12"/>
    </row>
    <row r="55" spans="2:18" ht="14.25" customHeight="1">
      <c r="B55" s="11"/>
      <c r="D55" s="38"/>
      <c r="H55" s="39"/>
      <c r="J55" s="38"/>
      <c r="P55" s="39"/>
      <c r="R55" s="12"/>
    </row>
    <row r="56" spans="2:18" ht="14.25" customHeight="1">
      <c r="B56" s="11"/>
      <c r="D56" s="38"/>
      <c r="H56" s="39"/>
      <c r="J56" s="38"/>
      <c r="P56" s="39"/>
      <c r="R56" s="12"/>
    </row>
    <row r="57" spans="2:18" ht="14.25" customHeight="1">
      <c r="B57" s="11"/>
      <c r="D57" s="38"/>
      <c r="H57" s="39"/>
      <c r="J57" s="38"/>
      <c r="P57" s="39"/>
      <c r="R57" s="12"/>
    </row>
    <row r="58" spans="2:18" ht="14.25" customHeight="1">
      <c r="B58" s="11"/>
      <c r="D58" s="38"/>
      <c r="H58" s="39"/>
      <c r="J58" s="38"/>
      <c r="P58" s="39"/>
      <c r="R58" s="12"/>
    </row>
    <row r="59" spans="2:18" s="7" customFormat="1" ht="15.75" customHeight="1">
      <c r="B59" s="22"/>
      <c r="D59" s="40" t="s">
        <v>47</v>
      </c>
      <c r="E59" s="41"/>
      <c r="F59" s="41"/>
      <c r="G59" s="42" t="s">
        <v>48</v>
      </c>
      <c r="H59" s="43"/>
      <c r="J59" s="40" t="s">
        <v>47</v>
      </c>
      <c r="K59" s="41"/>
      <c r="L59" s="41"/>
      <c r="M59" s="41"/>
      <c r="N59" s="42" t="s">
        <v>48</v>
      </c>
      <c r="O59" s="41"/>
      <c r="P59" s="43"/>
      <c r="R59" s="23"/>
    </row>
    <row r="60" spans="2:18" ht="14.25" customHeight="1">
      <c r="B60" s="11"/>
      <c r="R60" s="12"/>
    </row>
    <row r="61" spans="2:18" s="7" customFormat="1" ht="15.75" customHeight="1">
      <c r="B61" s="22"/>
      <c r="D61" s="35" t="s">
        <v>49</v>
      </c>
      <c r="E61" s="36"/>
      <c r="F61" s="36"/>
      <c r="G61" s="36"/>
      <c r="H61" s="37"/>
      <c r="J61" s="35" t="s">
        <v>50</v>
      </c>
      <c r="K61" s="36"/>
      <c r="L61" s="36"/>
      <c r="M61" s="36"/>
      <c r="N61" s="36"/>
      <c r="O61" s="36"/>
      <c r="P61" s="37"/>
      <c r="R61" s="23"/>
    </row>
    <row r="62" spans="2:18" ht="14.25" customHeight="1">
      <c r="B62" s="11"/>
      <c r="D62" s="38"/>
      <c r="H62" s="39"/>
      <c r="J62" s="38"/>
      <c r="P62" s="39"/>
      <c r="R62" s="12"/>
    </row>
    <row r="63" spans="2:18" ht="14.25" customHeight="1">
      <c r="B63" s="11"/>
      <c r="D63" s="38"/>
      <c r="H63" s="39"/>
      <c r="J63" s="38"/>
      <c r="P63" s="39"/>
      <c r="R63" s="12"/>
    </row>
    <row r="64" spans="2:18" ht="14.25" customHeight="1">
      <c r="B64" s="11"/>
      <c r="D64" s="38"/>
      <c r="H64" s="39"/>
      <c r="J64" s="38"/>
      <c r="P64" s="39"/>
      <c r="R64" s="12"/>
    </row>
    <row r="65" spans="2:18" ht="14.25" customHeight="1">
      <c r="B65" s="11"/>
      <c r="D65" s="38"/>
      <c r="H65" s="39"/>
      <c r="J65" s="38"/>
      <c r="P65" s="39"/>
      <c r="R65" s="12"/>
    </row>
    <row r="66" spans="2:18" ht="14.25" customHeight="1">
      <c r="B66" s="11"/>
      <c r="D66" s="38"/>
      <c r="H66" s="39"/>
      <c r="J66" s="38"/>
      <c r="P66" s="39"/>
      <c r="R66" s="12"/>
    </row>
    <row r="67" spans="2:18" ht="14.25" customHeight="1">
      <c r="B67" s="11"/>
      <c r="D67" s="38"/>
      <c r="H67" s="39"/>
      <c r="J67" s="38"/>
      <c r="P67" s="39"/>
      <c r="R67" s="12"/>
    </row>
    <row r="68" spans="2:18" ht="14.25" customHeight="1">
      <c r="B68" s="11"/>
      <c r="D68" s="38"/>
      <c r="H68" s="39"/>
      <c r="J68" s="38"/>
      <c r="P68" s="39"/>
      <c r="R68" s="12"/>
    </row>
    <row r="69" spans="2:18" ht="14.25" customHeight="1">
      <c r="B69" s="11"/>
      <c r="D69" s="38"/>
      <c r="H69" s="39"/>
      <c r="J69" s="38"/>
      <c r="P69" s="39"/>
      <c r="R69" s="12"/>
    </row>
    <row r="70" spans="2:18" s="7" customFormat="1" ht="15.75" customHeight="1">
      <c r="B70" s="22"/>
      <c r="D70" s="40" t="s">
        <v>47</v>
      </c>
      <c r="E70" s="41"/>
      <c r="F70" s="41"/>
      <c r="G70" s="42" t="s">
        <v>48</v>
      </c>
      <c r="H70" s="43"/>
      <c r="J70" s="40" t="s">
        <v>47</v>
      </c>
      <c r="K70" s="41"/>
      <c r="L70" s="41"/>
      <c r="M70" s="41"/>
      <c r="N70" s="42" t="s">
        <v>48</v>
      </c>
      <c r="O70" s="41"/>
      <c r="P70" s="43"/>
      <c r="R70" s="23"/>
    </row>
    <row r="71" spans="2:18" s="7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7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7" customFormat="1" ht="37.5" customHeight="1">
      <c r="B76" s="22"/>
      <c r="C76" s="172" t="s">
        <v>105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23"/>
    </row>
    <row r="77" spans="2:18" s="7" customFormat="1" ht="7.5" customHeight="1">
      <c r="B77" s="22"/>
      <c r="R77" s="23"/>
    </row>
    <row r="78" spans="2:18" s="7" customFormat="1" ht="15" customHeight="1">
      <c r="B78" s="22"/>
      <c r="C78" s="16" t="s">
        <v>14</v>
      </c>
      <c r="F78" s="216" t="str">
        <f>$F$6</f>
        <v>Zacharka - Oprava mostu přes potok Zacharka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R78" s="23"/>
    </row>
    <row r="79" spans="2:18" s="7" customFormat="1" ht="15" customHeight="1">
      <c r="B79" s="22"/>
      <c r="C79" s="15" t="s">
        <v>102</v>
      </c>
      <c r="F79" s="173" t="str">
        <f>$F$7</f>
        <v>SO 101 - Dopravní objížďka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R79" s="23"/>
    </row>
    <row r="80" spans="2:18" s="7" customFormat="1" ht="7.5" customHeight="1">
      <c r="B80" s="22"/>
      <c r="R80" s="23"/>
    </row>
    <row r="81" spans="2:18" s="7" customFormat="1" ht="18.75" customHeight="1">
      <c r="B81" s="22"/>
      <c r="C81" s="16" t="s">
        <v>18</v>
      </c>
      <c r="F81" s="17" t="str">
        <f>$F$9</f>
        <v> </v>
      </c>
      <c r="K81" s="16" t="s">
        <v>20</v>
      </c>
      <c r="M81" s="215" t="str">
        <f>IF($O$9="","",$O$9)</f>
        <v>29.08.2013</v>
      </c>
      <c r="N81" s="159"/>
      <c r="O81" s="159"/>
      <c r="P81" s="159"/>
      <c r="R81" s="23"/>
    </row>
    <row r="82" spans="2:18" s="7" customFormat="1" ht="7.5" customHeight="1">
      <c r="B82" s="22"/>
      <c r="R82" s="23"/>
    </row>
    <row r="83" spans="2:18" s="7" customFormat="1" ht="15.75" customHeight="1">
      <c r="B83" s="22"/>
      <c r="C83" s="16" t="s">
        <v>24</v>
      </c>
      <c r="F83" s="17" t="str">
        <f>$E$12</f>
        <v> </v>
      </c>
      <c r="K83" s="16" t="s">
        <v>29</v>
      </c>
      <c r="M83" s="174" t="str">
        <f>$E$18</f>
        <v> </v>
      </c>
      <c r="N83" s="159"/>
      <c r="O83" s="159"/>
      <c r="P83" s="159"/>
      <c r="Q83" s="159"/>
      <c r="R83" s="23"/>
    </row>
    <row r="84" spans="2:18" s="7" customFormat="1" ht="15" customHeight="1">
      <c r="B84" s="22"/>
      <c r="C84" s="16" t="s">
        <v>27</v>
      </c>
      <c r="F84" s="17" t="str">
        <f>IF($E$15="","",$E$15)</f>
        <v>Vyplň údaj</v>
      </c>
      <c r="K84" s="16" t="s">
        <v>31</v>
      </c>
      <c r="M84" s="174" t="str">
        <f>$E$21</f>
        <v> </v>
      </c>
      <c r="N84" s="159"/>
      <c r="O84" s="159"/>
      <c r="P84" s="159"/>
      <c r="Q84" s="159"/>
      <c r="R84" s="23"/>
    </row>
    <row r="85" spans="2:18" s="7" customFormat="1" ht="11.25" customHeight="1">
      <c r="B85" s="22"/>
      <c r="R85" s="23"/>
    </row>
    <row r="86" spans="2:18" s="7" customFormat="1" ht="30" customHeight="1">
      <c r="B86" s="22"/>
      <c r="C86" s="219" t="s">
        <v>106</v>
      </c>
      <c r="D86" s="155"/>
      <c r="E86" s="155"/>
      <c r="F86" s="155"/>
      <c r="G86" s="155"/>
      <c r="H86" s="31"/>
      <c r="I86" s="31"/>
      <c r="J86" s="31"/>
      <c r="K86" s="31"/>
      <c r="L86" s="31"/>
      <c r="M86" s="31"/>
      <c r="N86" s="219" t="s">
        <v>107</v>
      </c>
      <c r="O86" s="159"/>
      <c r="P86" s="159"/>
      <c r="Q86" s="159"/>
      <c r="R86" s="23"/>
    </row>
    <row r="87" spans="2:18" s="7" customFormat="1" ht="11.25" customHeight="1">
      <c r="B87" s="22"/>
      <c r="R87" s="23"/>
    </row>
    <row r="88" spans="2:47" s="7" customFormat="1" ht="30" customHeight="1">
      <c r="B88" s="22"/>
      <c r="C88" s="61" t="s">
        <v>108</v>
      </c>
      <c r="N88" s="162">
        <f>ROUNDUP($N$120,2)</f>
        <v>0</v>
      </c>
      <c r="O88" s="159"/>
      <c r="P88" s="159"/>
      <c r="Q88" s="159"/>
      <c r="R88" s="23"/>
      <c r="AU88" s="7" t="s">
        <v>109</v>
      </c>
    </row>
    <row r="89" spans="2:18" s="66" customFormat="1" ht="25.5" customHeight="1">
      <c r="B89" s="95"/>
      <c r="D89" s="96" t="s">
        <v>110</v>
      </c>
      <c r="N89" s="218">
        <f>ROUNDUP($N$121,2)</f>
        <v>0</v>
      </c>
      <c r="O89" s="217"/>
      <c r="P89" s="217"/>
      <c r="Q89" s="217"/>
      <c r="R89" s="97"/>
    </row>
    <row r="90" spans="2:18" s="91" customFormat="1" ht="21" customHeight="1">
      <c r="B90" s="98"/>
      <c r="D90" s="79" t="s">
        <v>111</v>
      </c>
      <c r="N90" s="161">
        <f>ROUNDUP($N$122,2)</f>
        <v>0</v>
      </c>
      <c r="O90" s="217"/>
      <c r="P90" s="217"/>
      <c r="Q90" s="217"/>
      <c r="R90" s="99"/>
    </row>
    <row r="91" spans="2:18" s="66" customFormat="1" ht="25.5" customHeight="1">
      <c r="B91" s="95"/>
      <c r="D91" s="96" t="s">
        <v>112</v>
      </c>
      <c r="N91" s="218">
        <f>ROUNDUP($N$149,2)</f>
        <v>0</v>
      </c>
      <c r="O91" s="217"/>
      <c r="P91" s="217"/>
      <c r="Q91" s="217"/>
      <c r="R91" s="97"/>
    </row>
    <row r="92" spans="2:18" s="91" customFormat="1" ht="21" customHeight="1">
      <c r="B92" s="98"/>
      <c r="D92" s="79" t="s">
        <v>113</v>
      </c>
      <c r="N92" s="161">
        <f>ROUNDUP($N$150,2)</f>
        <v>0</v>
      </c>
      <c r="O92" s="217"/>
      <c r="P92" s="217"/>
      <c r="Q92" s="217"/>
      <c r="R92" s="99"/>
    </row>
    <row r="93" spans="2:18" s="66" customFormat="1" ht="22.5" customHeight="1">
      <c r="B93" s="95"/>
      <c r="D93" s="96" t="s">
        <v>114</v>
      </c>
      <c r="N93" s="195">
        <f>$N$155</f>
        <v>0</v>
      </c>
      <c r="O93" s="217"/>
      <c r="P93" s="217"/>
      <c r="Q93" s="217"/>
      <c r="R93" s="97"/>
    </row>
    <row r="94" spans="2:18" s="7" customFormat="1" ht="22.5" customHeight="1">
      <c r="B94" s="22"/>
      <c r="R94" s="23"/>
    </row>
    <row r="95" spans="2:21" s="7" customFormat="1" ht="30" customHeight="1">
      <c r="B95" s="22"/>
      <c r="C95" s="61" t="s">
        <v>115</v>
      </c>
      <c r="N95" s="162">
        <f>ROUNDUP($N$96+$N$97+$N$98+$N$99+$N$100+$N$101,2)</f>
        <v>0</v>
      </c>
      <c r="O95" s="159"/>
      <c r="P95" s="159"/>
      <c r="Q95" s="159"/>
      <c r="R95" s="23"/>
      <c r="T95" s="100"/>
      <c r="U95" s="101" t="s">
        <v>35</v>
      </c>
    </row>
    <row r="96" spans="2:62" s="7" customFormat="1" ht="18.75" customHeight="1">
      <c r="B96" s="22"/>
      <c r="D96" s="158" t="s">
        <v>116</v>
      </c>
      <c r="E96" s="159"/>
      <c r="F96" s="159"/>
      <c r="G96" s="159"/>
      <c r="H96" s="159"/>
      <c r="M96" s="153">
        <v>0.03</v>
      </c>
      <c r="N96" s="160">
        <f>N89*0.03</f>
        <v>0</v>
      </c>
      <c r="O96" s="159"/>
      <c r="P96" s="159"/>
      <c r="Q96" s="159"/>
      <c r="R96" s="23"/>
      <c r="T96" s="102"/>
      <c r="U96" s="103" t="s">
        <v>36</v>
      </c>
      <c r="AY96" s="7" t="s">
        <v>117</v>
      </c>
      <c r="BE96" s="83">
        <f>IF($U$96="základní",$N$96,0)</f>
        <v>0</v>
      </c>
      <c r="BF96" s="83">
        <f>IF($U$96="snížená",$N$96,0)</f>
        <v>0</v>
      </c>
      <c r="BG96" s="83">
        <f>IF($U$96="zákl. přenesená",$N$96,0)</f>
        <v>0</v>
      </c>
      <c r="BH96" s="83">
        <f>IF($U$96="sníž. přenesená",$N$96,0)</f>
        <v>0</v>
      </c>
      <c r="BI96" s="83">
        <f>IF($U$96="nulová",$N$96,0)</f>
        <v>0</v>
      </c>
      <c r="BJ96" s="7" t="s">
        <v>17</v>
      </c>
    </row>
    <row r="97" spans="2:62" s="7" customFormat="1" ht="18.75" customHeight="1">
      <c r="B97" s="22"/>
      <c r="D97" s="158" t="s">
        <v>118</v>
      </c>
      <c r="E97" s="159"/>
      <c r="F97" s="159"/>
      <c r="G97" s="159"/>
      <c r="H97" s="159"/>
      <c r="N97" s="160">
        <f>ROUNDUP($N$88*$T$97,2)</f>
        <v>0</v>
      </c>
      <c r="O97" s="159"/>
      <c r="P97" s="159"/>
      <c r="Q97" s="159"/>
      <c r="R97" s="23"/>
      <c r="T97" s="102"/>
      <c r="U97" s="103" t="s">
        <v>36</v>
      </c>
      <c r="AY97" s="7" t="s">
        <v>117</v>
      </c>
      <c r="BE97" s="83">
        <f>IF($U$97="základní",$N$97,0)</f>
        <v>0</v>
      </c>
      <c r="BF97" s="83">
        <f>IF($U$97="snížená",$N$97,0)</f>
        <v>0</v>
      </c>
      <c r="BG97" s="83">
        <f>IF($U$97="zákl. přenesená",$N$97,0)</f>
        <v>0</v>
      </c>
      <c r="BH97" s="83">
        <f>IF($U$97="sníž. přenesená",$N$97,0)</f>
        <v>0</v>
      </c>
      <c r="BI97" s="83">
        <f>IF($U$97="nulová",$N$97,0)</f>
        <v>0</v>
      </c>
      <c r="BJ97" s="7" t="s">
        <v>17</v>
      </c>
    </row>
    <row r="98" spans="2:62" s="7" customFormat="1" ht="18.75" customHeight="1">
      <c r="B98" s="22"/>
      <c r="D98" s="158" t="s">
        <v>119</v>
      </c>
      <c r="E98" s="159"/>
      <c r="F98" s="159"/>
      <c r="G98" s="159"/>
      <c r="H98" s="159"/>
      <c r="N98" s="160">
        <f>ROUNDUP($N$88*$T$98,2)</f>
        <v>0</v>
      </c>
      <c r="O98" s="159"/>
      <c r="P98" s="159"/>
      <c r="Q98" s="159"/>
      <c r="R98" s="23"/>
      <c r="T98" s="102"/>
      <c r="U98" s="103" t="s">
        <v>36</v>
      </c>
      <c r="AY98" s="7" t="s">
        <v>117</v>
      </c>
      <c r="BE98" s="83">
        <f>IF($U$98="základní",$N$98,0)</f>
        <v>0</v>
      </c>
      <c r="BF98" s="83">
        <f>IF($U$98="snížená",$N$98,0)</f>
        <v>0</v>
      </c>
      <c r="BG98" s="83">
        <f>IF($U$98="zákl. přenesená",$N$98,0)</f>
        <v>0</v>
      </c>
      <c r="BH98" s="83">
        <f>IF($U$98="sníž. přenesená",$N$98,0)</f>
        <v>0</v>
      </c>
      <c r="BI98" s="83">
        <f>IF($U$98="nulová",$N$98,0)</f>
        <v>0</v>
      </c>
      <c r="BJ98" s="7" t="s">
        <v>17</v>
      </c>
    </row>
    <row r="99" spans="2:62" s="7" customFormat="1" ht="18.75" customHeight="1">
      <c r="B99" s="22"/>
      <c r="D99" s="158" t="s">
        <v>120</v>
      </c>
      <c r="E99" s="159"/>
      <c r="F99" s="159"/>
      <c r="G99" s="159"/>
      <c r="H99" s="159"/>
      <c r="M99" s="153">
        <v>0.01</v>
      </c>
      <c r="N99" s="160">
        <f>N89*0.01</f>
        <v>0</v>
      </c>
      <c r="O99" s="159"/>
      <c r="P99" s="159"/>
      <c r="Q99" s="159"/>
      <c r="R99" s="23"/>
      <c r="T99" s="102"/>
      <c r="U99" s="103" t="s">
        <v>36</v>
      </c>
      <c r="AY99" s="7" t="s">
        <v>117</v>
      </c>
      <c r="BE99" s="83">
        <f>IF($U$99="základní",$N$99,0)</f>
        <v>0</v>
      </c>
      <c r="BF99" s="83">
        <f>IF($U$99="snížená",$N$99,0)</f>
        <v>0</v>
      </c>
      <c r="BG99" s="83">
        <f>IF($U$99="zákl. přenesená",$N$99,0)</f>
        <v>0</v>
      </c>
      <c r="BH99" s="83">
        <f>IF($U$99="sníž. přenesená",$N$99,0)</f>
        <v>0</v>
      </c>
      <c r="BI99" s="83">
        <f>IF($U$99="nulová",$N$99,0)</f>
        <v>0</v>
      </c>
      <c r="BJ99" s="7" t="s">
        <v>17</v>
      </c>
    </row>
    <row r="100" spans="2:62" s="7" customFormat="1" ht="18.75" customHeight="1">
      <c r="B100" s="22"/>
      <c r="D100" s="158" t="s">
        <v>121</v>
      </c>
      <c r="E100" s="159"/>
      <c r="F100" s="159"/>
      <c r="G100" s="159"/>
      <c r="H100" s="159"/>
      <c r="N100" s="160">
        <v>0</v>
      </c>
      <c r="O100" s="159"/>
      <c r="P100" s="159"/>
      <c r="Q100" s="159"/>
      <c r="R100" s="23"/>
      <c r="T100" s="102"/>
      <c r="U100" s="103" t="s">
        <v>36</v>
      </c>
      <c r="AY100" s="7" t="s">
        <v>117</v>
      </c>
      <c r="BE100" s="83">
        <f>IF($U$100="základní",$N$100,0)</f>
        <v>0</v>
      </c>
      <c r="BF100" s="83">
        <f>IF($U$100="snížená",$N$100,0)</f>
        <v>0</v>
      </c>
      <c r="BG100" s="83">
        <f>IF($U$100="zákl. přenesená",$N$100,0)</f>
        <v>0</v>
      </c>
      <c r="BH100" s="83">
        <f>IF($U$100="sníž. přenesená",$N$100,0)</f>
        <v>0</v>
      </c>
      <c r="BI100" s="83">
        <f>IF($U$100="nulová",$N$100,0)</f>
        <v>0</v>
      </c>
      <c r="BJ100" s="7" t="s">
        <v>17</v>
      </c>
    </row>
    <row r="101" spans="2:62" s="7" customFormat="1" ht="18.75" customHeight="1">
      <c r="B101" s="22"/>
      <c r="D101" s="79" t="s">
        <v>122</v>
      </c>
      <c r="N101" s="160">
        <f>ROUNDUP($N$88*$T$101,2)</f>
        <v>0</v>
      </c>
      <c r="O101" s="159"/>
      <c r="P101" s="159"/>
      <c r="Q101" s="159"/>
      <c r="R101" s="23"/>
      <c r="T101" s="104"/>
      <c r="U101" s="105" t="s">
        <v>36</v>
      </c>
      <c r="AY101" s="7" t="s">
        <v>123</v>
      </c>
      <c r="BE101" s="83">
        <f>IF($U$101="základní",$N$101,0)</f>
        <v>0</v>
      </c>
      <c r="BF101" s="83">
        <f>IF($U$101="snížená",$N$101,0)</f>
        <v>0</v>
      </c>
      <c r="BG101" s="83">
        <f>IF($U$101="zákl. přenesená",$N$101,0)</f>
        <v>0</v>
      </c>
      <c r="BH101" s="83">
        <f>IF($U$101="sníž. přenesená",$N$101,0)</f>
        <v>0</v>
      </c>
      <c r="BI101" s="83">
        <f>IF($U$101="nulová",$N$101,0)</f>
        <v>0</v>
      </c>
      <c r="BJ101" s="7" t="s">
        <v>17</v>
      </c>
    </row>
    <row r="102" spans="2:18" s="7" customFormat="1" ht="14.25" customHeight="1">
      <c r="B102" s="22"/>
      <c r="R102" s="23"/>
    </row>
    <row r="103" spans="2:18" s="7" customFormat="1" ht="30" customHeight="1">
      <c r="B103" s="22"/>
      <c r="C103" s="90" t="s">
        <v>98</v>
      </c>
      <c r="D103" s="31"/>
      <c r="E103" s="31"/>
      <c r="F103" s="31"/>
      <c r="G103" s="31"/>
      <c r="H103" s="31"/>
      <c r="I103" s="31"/>
      <c r="J103" s="31"/>
      <c r="K103" s="31"/>
      <c r="L103" s="154">
        <f>ROUNDUP(SUM($N$88+$N$95),2)</f>
        <v>0</v>
      </c>
      <c r="M103" s="155"/>
      <c r="N103" s="155"/>
      <c r="O103" s="155"/>
      <c r="P103" s="155"/>
      <c r="Q103" s="155"/>
      <c r="R103" s="23"/>
    </row>
    <row r="104" spans="2:18" s="7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8" spans="2:18" s="7" customFormat="1" ht="7.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7" customFormat="1" ht="37.5" customHeight="1">
      <c r="B109" s="22"/>
      <c r="C109" s="172" t="s">
        <v>124</v>
      </c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23"/>
    </row>
    <row r="110" spans="2:18" s="7" customFormat="1" ht="7.5" customHeight="1">
      <c r="B110" s="22"/>
      <c r="R110" s="23"/>
    </row>
    <row r="111" spans="2:18" s="7" customFormat="1" ht="15" customHeight="1">
      <c r="B111" s="22"/>
      <c r="C111" s="16" t="s">
        <v>14</v>
      </c>
      <c r="F111" s="216" t="str">
        <f>$F$6</f>
        <v>Zacharka - Oprava mostu přes potok Zacharka</v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R111" s="23"/>
    </row>
    <row r="112" spans="2:18" s="7" customFormat="1" ht="15" customHeight="1">
      <c r="B112" s="22"/>
      <c r="C112" s="15" t="s">
        <v>102</v>
      </c>
      <c r="F112" s="173" t="str">
        <f>$F$7</f>
        <v>SO 101 - Dopravní objížďka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R112" s="23"/>
    </row>
    <row r="113" spans="2:18" s="7" customFormat="1" ht="7.5" customHeight="1">
      <c r="B113" s="22"/>
      <c r="R113" s="23"/>
    </row>
    <row r="114" spans="2:18" s="7" customFormat="1" ht="18.75" customHeight="1">
      <c r="B114" s="22"/>
      <c r="C114" s="16" t="s">
        <v>18</v>
      </c>
      <c r="F114" s="17" t="str">
        <f>$F$9</f>
        <v> </v>
      </c>
      <c r="K114" s="16" t="s">
        <v>20</v>
      </c>
      <c r="M114" s="215" t="str">
        <f>IF($O$9="","",$O$9)</f>
        <v>29.08.2013</v>
      </c>
      <c r="N114" s="159"/>
      <c r="O114" s="159"/>
      <c r="P114" s="159"/>
      <c r="R114" s="23"/>
    </row>
    <row r="115" spans="2:18" s="7" customFormat="1" ht="7.5" customHeight="1">
      <c r="B115" s="22"/>
      <c r="R115" s="23"/>
    </row>
    <row r="116" spans="2:18" s="7" customFormat="1" ht="15.75" customHeight="1">
      <c r="B116" s="22"/>
      <c r="C116" s="16" t="s">
        <v>24</v>
      </c>
      <c r="F116" s="17" t="str">
        <f>$E$12</f>
        <v> </v>
      </c>
      <c r="K116" s="16" t="s">
        <v>29</v>
      </c>
      <c r="M116" s="174" t="str">
        <f>$E$18</f>
        <v> </v>
      </c>
      <c r="N116" s="159"/>
      <c r="O116" s="159"/>
      <c r="P116" s="159"/>
      <c r="Q116" s="159"/>
      <c r="R116" s="23"/>
    </row>
    <row r="117" spans="2:18" s="7" customFormat="1" ht="15" customHeight="1">
      <c r="B117" s="22"/>
      <c r="C117" s="16" t="s">
        <v>27</v>
      </c>
      <c r="F117" s="17" t="str">
        <f>IF($E$15="","",$E$15)</f>
        <v>Vyplň údaj</v>
      </c>
      <c r="K117" s="16" t="s">
        <v>31</v>
      </c>
      <c r="M117" s="174" t="str">
        <f>$E$21</f>
        <v> </v>
      </c>
      <c r="N117" s="159"/>
      <c r="O117" s="159"/>
      <c r="P117" s="159"/>
      <c r="Q117" s="159"/>
      <c r="R117" s="23"/>
    </row>
    <row r="118" spans="2:18" s="7" customFormat="1" ht="11.25" customHeight="1">
      <c r="B118" s="22"/>
      <c r="R118" s="23"/>
    </row>
    <row r="119" spans="2:27" s="106" customFormat="1" ht="30" customHeight="1">
      <c r="B119" s="107"/>
      <c r="C119" s="108" t="s">
        <v>125</v>
      </c>
      <c r="D119" s="109" t="s">
        <v>126</v>
      </c>
      <c r="E119" s="109" t="s">
        <v>53</v>
      </c>
      <c r="F119" s="212" t="s">
        <v>127</v>
      </c>
      <c r="G119" s="213"/>
      <c r="H119" s="213"/>
      <c r="I119" s="213"/>
      <c r="J119" s="109" t="s">
        <v>128</v>
      </c>
      <c r="K119" s="109" t="s">
        <v>129</v>
      </c>
      <c r="L119" s="212" t="s">
        <v>130</v>
      </c>
      <c r="M119" s="213"/>
      <c r="N119" s="212" t="s">
        <v>131</v>
      </c>
      <c r="O119" s="213"/>
      <c r="P119" s="213"/>
      <c r="Q119" s="214"/>
      <c r="R119" s="110"/>
      <c r="T119" s="56" t="s">
        <v>132</v>
      </c>
      <c r="U119" s="57" t="s">
        <v>35</v>
      </c>
      <c r="V119" s="57" t="s">
        <v>133</v>
      </c>
      <c r="W119" s="57" t="s">
        <v>134</v>
      </c>
      <c r="X119" s="57" t="s">
        <v>135</v>
      </c>
      <c r="Y119" s="57" t="s">
        <v>136</v>
      </c>
      <c r="Z119" s="57" t="s">
        <v>137</v>
      </c>
      <c r="AA119" s="58" t="s">
        <v>138</v>
      </c>
    </row>
    <row r="120" spans="2:63" s="7" customFormat="1" ht="30" customHeight="1">
      <c r="B120" s="22"/>
      <c r="C120" s="61" t="s">
        <v>104</v>
      </c>
      <c r="N120" s="194">
        <f>$BK$120</f>
        <v>0</v>
      </c>
      <c r="O120" s="159"/>
      <c r="P120" s="159"/>
      <c r="Q120" s="159"/>
      <c r="R120" s="23"/>
      <c r="T120" s="60"/>
      <c r="U120" s="36"/>
      <c r="V120" s="36"/>
      <c r="W120" s="111">
        <f>$W$121+$W$149+$W$155</f>
        <v>5.38</v>
      </c>
      <c r="X120" s="36"/>
      <c r="Y120" s="111">
        <f>$Y$121+$Y$149+$Y$155</f>
        <v>0.03</v>
      </c>
      <c r="Z120" s="36"/>
      <c r="AA120" s="112">
        <f>$AA$121+$AA$149+$AA$155</f>
        <v>0</v>
      </c>
      <c r="AT120" s="7" t="s">
        <v>70</v>
      </c>
      <c r="AU120" s="7" t="s">
        <v>109</v>
      </c>
      <c r="BK120" s="113">
        <f>$BK$121+$BK$149+$BK$155</f>
        <v>0</v>
      </c>
    </row>
    <row r="121" spans="2:63" s="114" customFormat="1" ht="37.5" customHeight="1">
      <c r="B121" s="115"/>
      <c r="D121" s="116" t="s">
        <v>110</v>
      </c>
      <c r="N121" s="195">
        <f>$BK$121</f>
        <v>0</v>
      </c>
      <c r="O121" s="196"/>
      <c r="P121" s="196"/>
      <c r="Q121" s="196"/>
      <c r="R121" s="118"/>
      <c r="T121" s="119"/>
      <c r="W121" s="120">
        <f>$W$122</f>
        <v>5.38</v>
      </c>
      <c r="Y121" s="120">
        <f>$Y$122</f>
        <v>0.03</v>
      </c>
      <c r="AA121" s="121">
        <f>$AA$122</f>
        <v>0</v>
      </c>
      <c r="AR121" s="117" t="s">
        <v>17</v>
      </c>
      <c r="AT121" s="117" t="s">
        <v>70</v>
      </c>
      <c r="AU121" s="117" t="s">
        <v>71</v>
      </c>
      <c r="AY121" s="117" t="s">
        <v>139</v>
      </c>
      <c r="BK121" s="122">
        <f>$BK$122</f>
        <v>0</v>
      </c>
    </row>
    <row r="122" spans="2:63" s="114" customFormat="1" ht="21" customHeight="1">
      <c r="B122" s="115"/>
      <c r="D122" s="123" t="s">
        <v>111</v>
      </c>
      <c r="N122" s="197">
        <f>$BK$122</f>
        <v>0</v>
      </c>
      <c r="O122" s="196"/>
      <c r="P122" s="196"/>
      <c r="Q122" s="196"/>
      <c r="R122" s="118"/>
      <c r="T122" s="119"/>
      <c r="W122" s="120">
        <f>SUM($W$123:$W$148)</f>
        <v>5.38</v>
      </c>
      <c r="Y122" s="120">
        <f>SUM($Y$123:$Y$148)</f>
        <v>0.03</v>
      </c>
      <c r="AA122" s="121">
        <f>SUM($AA$123:$AA$148)</f>
        <v>0</v>
      </c>
      <c r="AR122" s="117" t="s">
        <v>17</v>
      </c>
      <c r="AT122" s="117" t="s">
        <v>70</v>
      </c>
      <c r="AU122" s="117" t="s">
        <v>17</v>
      </c>
      <c r="AY122" s="117" t="s">
        <v>139</v>
      </c>
      <c r="BK122" s="122">
        <f>SUM($BK$123:$BK$148)</f>
        <v>0</v>
      </c>
    </row>
    <row r="123" spans="2:64" s="7" customFormat="1" ht="27" customHeight="1">
      <c r="B123" s="22"/>
      <c r="C123" s="124" t="s">
        <v>17</v>
      </c>
      <c r="D123" s="124" t="s">
        <v>140</v>
      </c>
      <c r="E123" s="125" t="s">
        <v>141</v>
      </c>
      <c r="F123" s="200" t="s">
        <v>142</v>
      </c>
      <c r="G123" s="192"/>
      <c r="H123" s="192"/>
      <c r="I123" s="192"/>
      <c r="J123" s="126" t="s">
        <v>143</v>
      </c>
      <c r="K123" s="127">
        <v>10</v>
      </c>
      <c r="L123" s="201"/>
      <c r="M123" s="202"/>
      <c r="N123" s="193">
        <f>ROUND($L$123*$K$123,2)</f>
        <v>0</v>
      </c>
      <c r="O123" s="192"/>
      <c r="P123" s="192"/>
      <c r="Q123" s="192"/>
      <c r="R123" s="23"/>
      <c r="T123" s="128"/>
      <c r="U123" s="29" t="s">
        <v>36</v>
      </c>
      <c r="V123" s="129">
        <v>0.05</v>
      </c>
      <c r="W123" s="129">
        <f>$V$123*$K$123</f>
        <v>0.5</v>
      </c>
      <c r="X123" s="129">
        <v>0</v>
      </c>
      <c r="Y123" s="129">
        <f>$X$123*$K$123</f>
        <v>0</v>
      </c>
      <c r="Z123" s="129">
        <v>0</v>
      </c>
      <c r="AA123" s="130">
        <f>$Z$123*$K$123</f>
        <v>0</v>
      </c>
      <c r="AR123" s="7" t="s">
        <v>144</v>
      </c>
      <c r="AT123" s="7" t="s">
        <v>140</v>
      </c>
      <c r="AU123" s="7" t="s">
        <v>100</v>
      </c>
      <c r="AY123" s="7" t="s">
        <v>139</v>
      </c>
      <c r="BE123" s="83">
        <f>IF($U$123="základní",$N$123,0)</f>
        <v>0</v>
      </c>
      <c r="BF123" s="83">
        <f>IF($U$123="snížená",$N$123,0)</f>
        <v>0</v>
      </c>
      <c r="BG123" s="83">
        <f>IF($U$123="zákl. přenesená",$N$123,0)</f>
        <v>0</v>
      </c>
      <c r="BH123" s="83">
        <f>IF($U$123="sníž. přenesená",$N$123,0)</f>
        <v>0</v>
      </c>
      <c r="BI123" s="83">
        <f>IF($U$123="nulová",$N$123,0)</f>
        <v>0</v>
      </c>
      <c r="BJ123" s="7" t="s">
        <v>17</v>
      </c>
      <c r="BK123" s="83">
        <f>ROUND($L$123*$K$123,2)</f>
        <v>0</v>
      </c>
      <c r="BL123" s="7" t="s">
        <v>144</v>
      </c>
    </row>
    <row r="124" spans="2:64" s="7" customFormat="1" ht="27" customHeight="1">
      <c r="B124" s="22"/>
      <c r="C124" s="124" t="s">
        <v>100</v>
      </c>
      <c r="D124" s="124" t="s">
        <v>140</v>
      </c>
      <c r="E124" s="125" t="s">
        <v>145</v>
      </c>
      <c r="F124" s="200" t="s">
        <v>146</v>
      </c>
      <c r="G124" s="192"/>
      <c r="H124" s="192"/>
      <c r="I124" s="192"/>
      <c r="J124" s="126" t="s">
        <v>143</v>
      </c>
      <c r="K124" s="127">
        <v>37</v>
      </c>
      <c r="L124" s="201"/>
      <c r="M124" s="202"/>
      <c r="N124" s="193">
        <f>ROUND($L$124*$K$124,2)</f>
        <v>0</v>
      </c>
      <c r="O124" s="192"/>
      <c r="P124" s="192"/>
      <c r="Q124" s="192"/>
      <c r="R124" s="23"/>
      <c r="T124" s="128"/>
      <c r="U124" s="29" t="s">
        <v>36</v>
      </c>
      <c r="V124" s="129">
        <v>0.09</v>
      </c>
      <c r="W124" s="129">
        <f>$V$124*$K$124</f>
        <v>3.33</v>
      </c>
      <c r="X124" s="129">
        <v>0</v>
      </c>
      <c r="Y124" s="129">
        <f>$X$124*$K$124</f>
        <v>0</v>
      </c>
      <c r="Z124" s="129">
        <v>0</v>
      </c>
      <c r="AA124" s="130">
        <f>$Z$124*$K$124</f>
        <v>0</v>
      </c>
      <c r="AR124" s="7" t="s">
        <v>144</v>
      </c>
      <c r="AT124" s="7" t="s">
        <v>140</v>
      </c>
      <c r="AU124" s="7" t="s">
        <v>100</v>
      </c>
      <c r="AY124" s="7" t="s">
        <v>139</v>
      </c>
      <c r="BE124" s="83">
        <f>IF($U$124="základní",$N$124,0)</f>
        <v>0</v>
      </c>
      <c r="BF124" s="83">
        <f>IF($U$124="snížená",$N$124,0)</f>
        <v>0</v>
      </c>
      <c r="BG124" s="83">
        <f>IF($U$124="zákl. přenesená",$N$124,0)</f>
        <v>0</v>
      </c>
      <c r="BH124" s="83">
        <f>IF($U$124="sníž. přenesená",$N$124,0)</f>
        <v>0</v>
      </c>
      <c r="BI124" s="83">
        <f>IF($U$124="nulová",$N$124,0)</f>
        <v>0</v>
      </c>
      <c r="BJ124" s="7" t="s">
        <v>17</v>
      </c>
      <c r="BK124" s="83">
        <f>ROUND($L$124*$K$124,2)</f>
        <v>0</v>
      </c>
      <c r="BL124" s="7" t="s">
        <v>144</v>
      </c>
    </row>
    <row r="125" spans="2:51" s="7" customFormat="1" ht="15.75" customHeight="1">
      <c r="B125" s="131"/>
      <c r="E125" s="132"/>
      <c r="F125" s="203" t="s">
        <v>147</v>
      </c>
      <c r="G125" s="204"/>
      <c r="H125" s="204"/>
      <c r="I125" s="204"/>
      <c r="K125" s="133">
        <v>2</v>
      </c>
      <c r="L125" s="151"/>
      <c r="M125" s="151"/>
      <c r="R125" s="134"/>
      <c r="T125" s="135"/>
      <c r="AA125" s="136"/>
      <c r="AT125" s="132" t="s">
        <v>148</v>
      </c>
      <c r="AU125" s="132" t="s">
        <v>100</v>
      </c>
      <c r="AV125" s="132" t="s">
        <v>100</v>
      </c>
      <c r="AW125" s="132" t="s">
        <v>109</v>
      </c>
      <c r="AX125" s="132" t="s">
        <v>71</v>
      </c>
      <c r="AY125" s="132" t="s">
        <v>139</v>
      </c>
    </row>
    <row r="126" spans="2:51" s="7" customFormat="1" ht="15.75" customHeight="1">
      <c r="B126" s="131"/>
      <c r="E126" s="132"/>
      <c r="F126" s="203" t="s">
        <v>149</v>
      </c>
      <c r="G126" s="204"/>
      <c r="H126" s="204"/>
      <c r="I126" s="204"/>
      <c r="K126" s="133">
        <v>2</v>
      </c>
      <c r="L126" s="151"/>
      <c r="M126" s="151"/>
      <c r="R126" s="134"/>
      <c r="T126" s="135"/>
      <c r="AA126" s="136"/>
      <c r="AT126" s="132" t="s">
        <v>148</v>
      </c>
      <c r="AU126" s="132" t="s">
        <v>100</v>
      </c>
      <c r="AV126" s="132" t="s">
        <v>100</v>
      </c>
      <c r="AW126" s="132" t="s">
        <v>109</v>
      </c>
      <c r="AX126" s="132" t="s">
        <v>71</v>
      </c>
      <c r="AY126" s="132" t="s">
        <v>139</v>
      </c>
    </row>
    <row r="127" spans="2:51" s="7" customFormat="1" ht="15.75" customHeight="1">
      <c r="B127" s="131"/>
      <c r="E127" s="132"/>
      <c r="F127" s="203" t="s">
        <v>150</v>
      </c>
      <c r="G127" s="204"/>
      <c r="H127" s="204"/>
      <c r="I127" s="204"/>
      <c r="K127" s="133">
        <v>3</v>
      </c>
      <c r="L127" s="151"/>
      <c r="M127" s="151"/>
      <c r="R127" s="134"/>
      <c r="T127" s="135"/>
      <c r="AA127" s="136"/>
      <c r="AT127" s="132" t="s">
        <v>148</v>
      </c>
      <c r="AU127" s="132" t="s">
        <v>100</v>
      </c>
      <c r="AV127" s="132" t="s">
        <v>100</v>
      </c>
      <c r="AW127" s="132" t="s">
        <v>109</v>
      </c>
      <c r="AX127" s="132" t="s">
        <v>71</v>
      </c>
      <c r="AY127" s="132" t="s">
        <v>139</v>
      </c>
    </row>
    <row r="128" spans="2:51" s="7" customFormat="1" ht="15.75" customHeight="1">
      <c r="B128" s="131"/>
      <c r="E128" s="132"/>
      <c r="F128" s="203" t="s">
        <v>151</v>
      </c>
      <c r="G128" s="204"/>
      <c r="H128" s="204"/>
      <c r="I128" s="204"/>
      <c r="K128" s="133">
        <v>3</v>
      </c>
      <c r="L128" s="151"/>
      <c r="M128" s="151"/>
      <c r="R128" s="134"/>
      <c r="T128" s="135"/>
      <c r="AA128" s="136"/>
      <c r="AT128" s="132" t="s">
        <v>148</v>
      </c>
      <c r="AU128" s="132" t="s">
        <v>100</v>
      </c>
      <c r="AV128" s="132" t="s">
        <v>100</v>
      </c>
      <c r="AW128" s="132" t="s">
        <v>109</v>
      </c>
      <c r="AX128" s="132" t="s">
        <v>71</v>
      </c>
      <c r="AY128" s="132" t="s">
        <v>139</v>
      </c>
    </row>
    <row r="129" spans="2:51" s="7" customFormat="1" ht="15.75" customHeight="1">
      <c r="B129" s="131"/>
      <c r="E129" s="132"/>
      <c r="F129" s="203" t="s">
        <v>152</v>
      </c>
      <c r="G129" s="204"/>
      <c r="H129" s="204"/>
      <c r="I129" s="204"/>
      <c r="K129" s="133">
        <v>8</v>
      </c>
      <c r="L129" s="151"/>
      <c r="M129" s="151"/>
      <c r="R129" s="134"/>
      <c r="T129" s="135"/>
      <c r="AA129" s="136"/>
      <c r="AT129" s="132" t="s">
        <v>148</v>
      </c>
      <c r="AU129" s="132" t="s">
        <v>100</v>
      </c>
      <c r="AV129" s="132" t="s">
        <v>100</v>
      </c>
      <c r="AW129" s="132" t="s">
        <v>109</v>
      </c>
      <c r="AX129" s="132" t="s">
        <v>71</v>
      </c>
      <c r="AY129" s="132" t="s">
        <v>139</v>
      </c>
    </row>
    <row r="130" spans="2:51" s="7" customFormat="1" ht="15.75" customHeight="1">
      <c r="B130" s="131"/>
      <c r="E130" s="132"/>
      <c r="F130" s="203" t="s">
        <v>153</v>
      </c>
      <c r="G130" s="204"/>
      <c r="H130" s="204"/>
      <c r="I130" s="204"/>
      <c r="K130" s="133">
        <v>9</v>
      </c>
      <c r="L130" s="151"/>
      <c r="M130" s="151"/>
      <c r="R130" s="134"/>
      <c r="T130" s="135"/>
      <c r="AA130" s="136"/>
      <c r="AT130" s="132" t="s">
        <v>148</v>
      </c>
      <c r="AU130" s="132" t="s">
        <v>100</v>
      </c>
      <c r="AV130" s="132" t="s">
        <v>100</v>
      </c>
      <c r="AW130" s="132" t="s">
        <v>109</v>
      </c>
      <c r="AX130" s="132" t="s">
        <v>71</v>
      </c>
      <c r="AY130" s="132" t="s">
        <v>139</v>
      </c>
    </row>
    <row r="131" spans="2:51" s="7" customFormat="1" ht="15.75" customHeight="1">
      <c r="B131" s="131"/>
      <c r="E131" s="132"/>
      <c r="F131" s="203" t="s">
        <v>154</v>
      </c>
      <c r="G131" s="204"/>
      <c r="H131" s="204"/>
      <c r="I131" s="204"/>
      <c r="K131" s="133">
        <v>6</v>
      </c>
      <c r="L131" s="151"/>
      <c r="M131" s="151"/>
      <c r="R131" s="134"/>
      <c r="T131" s="135"/>
      <c r="AA131" s="136"/>
      <c r="AT131" s="132" t="s">
        <v>148</v>
      </c>
      <c r="AU131" s="132" t="s">
        <v>100</v>
      </c>
      <c r="AV131" s="132" t="s">
        <v>100</v>
      </c>
      <c r="AW131" s="132" t="s">
        <v>109</v>
      </c>
      <c r="AX131" s="132" t="s">
        <v>71</v>
      </c>
      <c r="AY131" s="132" t="s">
        <v>139</v>
      </c>
    </row>
    <row r="132" spans="2:51" s="7" customFormat="1" ht="15.75" customHeight="1">
      <c r="B132" s="131"/>
      <c r="E132" s="132"/>
      <c r="F132" s="203" t="s">
        <v>155</v>
      </c>
      <c r="G132" s="204"/>
      <c r="H132" s="204"/>
      <c r="I132" s="204"/>
      <c r="K132" s="133">
        <v>4</v>
      </c>
      <c r="L132" s="151"/>
      <c r="M132" s="151"/>
      <c r="R132" s="134"/>
      <c r="T132" s="135"/>
      <c r="AA132" s="136"/>
      <c r="AT132" s="132" t="s">
        <v>148</v>
      </c>
      <c r="AU132" s="132" t="s">
        <v>100</v>
      </c>
      <c r="AV132" s="132" t="s">
        <v>100</v>
      </c>
      <c r="AW132" s="132" t="s">
        <v>109</v>
      </c>
      <c r="AX132" s="132" t="s">
        <v>71</v>
      </c>
      <c r="AY132" s="132" t="s">
        <v>139</v>
      </c>
    </row>
    <row r="133" spans="2:51" s="7" customFormat="1" ht="15.75" customHeight="1">
      <c r="B133" s="137"/>
      <c r="E133" s="138"/>
      <c r="F133" s="206" t="s">
        <v>156</v>
      </c>
      <c r="G133" s="207"/>
      <c r="H133" s="207"/>
      <c r="I133" s="207"/>
      <c r="K133" s="139">
        <v>37</v>
      </c>
      <c r="L133" s="151"/>
      <c r="M133" s="151"/>
      <c r="R133" s="140"/>
      <c r="T133" s="141"/>
      <c r="AA133" s="142"/>
      <c r="AT133" s="138" t="s">
        <v>148</v>
      </c>
      <c r="AU133" s="138" t="s">
        <v>100</v>
      </c>
      <c r="AV133" s="138" t="s">
        <v>144</v>
      </c>
      <c r="AW133" s="138" t="s">
        <v>109</v>
      </c>
      <c r="AX133" s="138" t="s">
        <v>17</v>
      </c>
      <c r="AY133" s="138" t="s">
        <v>139</v>
      </c>
    </row>
    <row r="134" spans="2:64" s="7" customFormat="1" ht="27" customHeight="1">
      <c r="B134" s="22"/>
      <c r="C134" s="124" t="s">
        <v>157</v>
      </c>
      <c r="D134" s="124" t="s">
        <v>140</v>
      </c>
      <c r="E134" s="125" t="s">
        <v>158</v>
      </c>
      <c r="F134" s="200" t="s">
        <v>159</v>
      </c>
      <c r="G134" s="192"/>
      <c r="H134" s="192"/>
      <c r="I134" s="192"/>
      <c r="J134" s="126" t="s">
        <v>143</v>
      </c>
      <c r="K134" s="127">
        <v>5</v>
      </c>
      <c r="L134" s="201"/>
      <c r="M134" s="202"/>
      <c r="N134" s="193">
        <f>ROUND($L$134*$K$134,2)</f>
        <v>0</v>
      </c>
      <c r="O134" s="192"/>
      <c r="P134" s="192"/>
      <c r="Q134" s="192"/>
      <c r="R134" s="23"/>
      <c r="T134" s="128"/>
      <c r="U134" s="29" t="s">
        <v>36</v>
      </c>
      <c r="V134" s="129">
        <v>0.15</v>
      </c>
      <c r="W134" s="129">
        <f>$V$134*$K$134</f>
        <v>0.75</v>
      </c>
      <c r="X134" s="129">
        <v>0</v>
      </c>
      <c r="Y134" s="129">
        <f>$X$134*$K$134</f>
        <v>0</v>
      </c>
      <c r="Z134" s="129">
        <v>0</v>
      </c>
      <c r="AA134" s="130">
        <f>$Z$134*$K$134</f>
        <v>0</v>
      </c>
      <c r="AR134" s="7" t="s">
        <v>144</v>
      </c>
      <c r="AT134" s="7" t="s">
        <v>140</v>
      </c>
      <c r="AU134" s="7" t="s">
        <v>100</v>
      </c>
      <c r="AY134" s="7" t="s">
        <v>139</v>
      </c>
      <c r="BE134" s="83">
        <f>IF($U$134="základní",$N$134,0)</f>
        <v>0</v>
      </c>
      <c r="BF134" s="83">
        <f>IF($U$134="snížená",$N$134,0)</f>
        <v>0</v>
      </c>
      <c r="BG134" s="83">
        <f>IF($U$134="zákl. přenesená",$N$134,0)</f>
        <v>0</v>
      </c>
      <c r="BH134" s="83">
        <f>IF($U$134="sníž. přenesená",$N$134,0)</f>
        <v>0</v>
      </c>
      <c r="BI134" s="83">
        <f>IF($U$134="nulová",$N$134,0)</f>
        <v>0</v>
      </c>
      <c r="BJ134" s="7" t="s">
        <v>17</v>
      </c>
      <c r="BK134" s="83">
        <f>ROUND($L$134*$K$134,2)</f>
        <v>0</v>
      </c>
      <c r="BL134" s="7" t="s">
        <v>144</v>
      </c>
    </row>
    <row r="135" spans="2:51" s="7" customFormat="1" ht="15.75" customHeight="1">
      <c r="B135" s="131"/>
      <c r="E135" s="132"/>
      <c r="F135" s="203" t="s">
        <v>160</v>
      </c>
      <c r="G135" s="204"/>
      <c r="H135" s="204"/>
      <c r="I135" s="204"/>
      <c r="K135" s="133">
        <v>4</v>
      </c>
      <c r="L135" s="151"/>
      <c r="M135" s="151"/>
      <c r="R135" s="134"/>
      <c r="T135" s="135"/>
      <c r="AA135" s="136"/>
      <c r="AT135" s="132" t="s">
        <v>148</v>
      </c>
      <c r="AU135" s="132" t="s">
        <v>100</v>
      </c>
      <c r="AV135" s="132" t="s">
        <v>100</v>
      </c>
      <c r="AW135" s="132" t="s">
        <v>109</v>
      </c>
      <c r="AX135" s="132" t="s">
        <v>71</v>
      </c>
      <c r="AY135" s="132" t="s">
        <v>139</v>
      </c>
    </row>
    <row r="136" spans="2:51" s="7" customFormat="1" ht="15.75" customHeight="1">
      <c r="B136" s="131"/>
      <c r="E136" s="132"/>
      <c r="F136" s="203" t="s">
        <v>161</v>
      </c>
      <c r="G136" s="204"/>
      <c r="H136" s="204"/>
      <c r="I136" s="204"/>
      <c r="K136" s="133">
        <v>1</v>
      </c>
      <c r="L136" s="151"/>
      <c r="M136" s="151"/>
      <c r="R136" s="134"/>
      <c r="T136" s="135"/>
      <c r="AA136" s="136"/>
      <c r="AT136" s="132" t="s">
        <v>148</v>
      </c>
      <c r="AU136" s="132" t="s">
        <v>100</v>
      </c>
      <c r="AV136" s="132" t="s">
        <v>100</v>
      </c>
      <c r="AW136" s="132" t="s">
        <v>109</v>
      </c>
      <c r="AX136" s="132" t="s">
        <v>71</v>
      </c>
      <c r="AY136" s="132" t="s">
        <v>139</v>
      </c>
    </row>
    <row r="137" spans="2:51" s="7" customFormat="1" ht="15.75" customHeight="1">
      <c r="B137" s="137"/>
      <c r="E137" s="138"/>
      <c r="F137" s="206" t="s">
        <v>156</v>
      </c>
      <c r="G137" s="207"/>
      <c r="H137" s="207"/>
      <c r="I137" s="207"/>
      <c r="K137" s="139">
        <v>5</v>
      </c>
      <c r="L137" s="151"/>
      <c r="M137" s="151"/>
      <c r="R137" s="140"/>
      <c r="T137" s="141"/>
      <c r="AA137" s="142"/>
      <c r="AT137" s="138" t="s">
        <v>148</v>
      </c>
      <c r="AU137" s="138" t="s">
        <v>100</v>
      </c>
      <c r="AV137" s="138" t="s">
        <v>144</v>
      </c>
      <c r="AW137" s="138" t="s">
        <v>109</v>
      </c>
      <c r="AX137" s="138" t="s">
        <v>17</v>
      </c>
      <c r="AY137" s="138" t="s">
        <v>139</v>
      </c>
    </row>
    <row r="138" spans="2:64" s="7" customFormat="1" ht="15.75" customHeight="1">
      <c r="B138" s="22"/>
      <c r="C138" s="143" t="s">
        <v>144</v>
      </c>
      <c r="D138" s="143" t="s">
        <v>162</v>
      </c>
      <c r="E138" s="144" t="s">
        <v>163</v>
      </c>
      <c r="F138" s="208" t="s">
        <v>164</v>
      </c>
      <c r="G138" s="209"/>
      <c r="H138" s="209"/>
      <c r="I138" s="209"/>
      <c r="J138" s="145" t="s">
        <v>143</v>
      </c>
      <c r="K138" s="146">
        <v>5</v>
      </c>
      <c r="L138" s="210"/>
      <c r="M138" s="211"/>
      <c r="N138" s="205">
        <f>ROUND($L$138*$K$138,2)</f>
        <v>0</v>
      </c>
      <c r="O138" s="192"/>
      <c r="P138" s="192"/>
      <c r="Q138" s="192"/>
      <c r="R138" s="23"/>
      <c r="T138" s="128"/>
      <c r="U138" s="29" t="s">
        <v>36</v>
      </c>
      <c r="V138" s="129">
        <v>0</v>
      </c>
      <c r="W138" s="129">
        <f>$V$138*$K$138</f>
        <v>0</v>
      </c>
      <c r="X138" s="129">
        <v>0.006</v>
      </c>
      <c r="Y138" s="129">
        <f>$X$138*$K$138</f>
        <v>0.03</v>
      </c>
      <c r="Z138" s="129">
        <v>0</v>
      </c>
      <c r="AA138" s="130">
        <f>$Z$138*$K$138</f>
        <v>0</v>
      </c>
      <c r="AR138" s="7" t="s">
        <v>165</v>
      </c>
      <c r="AT138" s="7" t="s">
        <v>162</v>
      </c>
      <c r="AU138" s="7" t="s">
        <v>100</v>
      </c>
      <c r="AY138" s="7" t="s">
        <v>139</v>
      </c>
      <c r="BE138" s="83">
        <f>IF($U$138="základní",$N$138,0)</f>
        <v>0</v>
      </c>
      <c r="BF138" s="83">
        <f>IF($U$138="snížená",$N$138,0)</f>
        <v>0</v>
      </c>
      <c r="BG138" s="83">
        <f>IF($U$138="zákl. přenesená",$N$138,0)</f>
        <v>0</v>
      </c>
      <c r="BH138" s="83">
        <f>IF($U$138="sníž. přenesená",$N$138,0)</f>
        <v>0</v>
      </c>
      <c r="BI138" s="83">
        <f>IF($U$138="nulová",$N$138,0)</f>
        <v>0</v>
      </c>
      <c r="BJ138" s="7" t="s">
        <v>17</v>
      </c>
      <c r="BK138" s="83">
        <f>ROUND($L$138*$K$138,2)</f>
        <v>0</v>
      </c>
      <c r="BL138" s="7" t="s">
        <v>144</v>
      </c>
    </row>
    <row r="139" spans="2:51" s="7" customFormat="1" ht="15.75" customHeight="1">
      <c r="B139" s="131"/>
      <c r="E139" s="132"/>
      <c r="F139" s="203" t="s">
        <v>166</v>
      </c>
      <c r="G139" s="204"/>
      <c r="H139" s="204"/>
      <c r="I139" s="204"/>
      <c r="K139" s="133">
        <v>5</v>
      </c>
      <c r="L139" s="151"/>
      <c r="M139" s="151"/>
      <c r="R139" s="134"/>
      <c r="T139" s="135"/>
      <c r="AA139" s="136"/>
      <c r="AT139" s="132" t="s">
        <v>148</v>
      </c>
      <c r="AU139" s="132" t="s">
        <v>100</v>
      </c>
      <c r="AV139" s="132" t="s">
        <v>100</v>
      </c>
      <c r="AW139" s="132" t="s">
        <v>109</v>
      </c>
      <c r="AX139" s="132" t="s">
        <v>17</v>
      </c>
      <c r="AY139" s="132" t="s">
        <v>139</v>
      </c>
    </row>
    <row r="140" spans="2:64" s="7" customFormat="1" ht="27" customHeight="1">
      <c r="B140" s="22"/>
      <c r="C140" s="124" t="s">
        <v>167</v>
      </c>
      <c r="D140" s="124" t="s">
        <v>140</v>
      </c>
      <c r="E140" s="125" t="s">
        <v>168</v>
      </c>
      <c r="F140" s="200" t="s">
        <v>169</v>
      </c>
      <c r="G140" s="192"/>
      <c r="H140" s="192"/>
      <c r="I140" s="192"/>
      <c r="J140" s="126" t="s">
        <v>143</v>
      </c>
      <c r="K140" s="127">
        <v>2610</v>
      </c>
      <c r="L140" s="201"/>
      <c r="M140" s="202"/>
      <c r="N140" s="193">
        <f>ROUND($L$140*$K$140,2)</f>
        <v>0</v>
      </c>
      <c r="O140" s="192"/>
      <c r="P140" s="192"/>
      <c r="Q140" s="192"/>
      <c r="R140" s="23"/>
      <c r="T140" s="128"/>
      <c r="U140" s="29" t="s">
        <v>36</v>
      </c>
      <c r="V140" s="129">
        <v>0</v>
      </c>
      <c r="W140" s="129">
        <f>$V$140*$K$140</f>
        <v>0</v>
      </c>
      <c r="X140" s="129">
        <v>0</v>
      </c>
      <c r="Y140" s="129">
        <f>$X$140*$K$140</f>
        <v>0</v>
      </c>
      <c r="Z140" s="129">
        <v>0</v>
      </c>
      <c r="AA140" s="130">
        <f>$Z$140*$K$140</f>
        <v>0</v>
      </c>
      <c r="AR140" s="7" t="s">
        <v>144</v>
      </c>
      <c r="AT140" s="7" t="s">
        <v>140</v>
      </c>
      <c r="AU140" s="7" t="s">
        <v>100</v>
      </c>
      <c r="AY140" s="7" t="s">
        <v>139</v>
      </c>
      <c r="BE140" s="83">
        <f>IF($U$140="základní",$N$140,0)</f>
        <v>0</v>
      </c>
      <c r="BF140" s="83">
        <f>IF($U$140="snížená",$N$140,0)</f>
        <v>0</v>
      </c>
      <c r="BG140" s="83">
        <f>IF($U$140="zákl. přenesená",$N$140,0)</f>
        <v>0</v>
      </c>
      <c r="BH140" s="83">
        <f>IF($U$140="sníž. přenesená",$N$140,0)</f>
        <v>0</v>
      </c>
      <c r="BI140" s="83">
        <f>IF($U$140="nulová",$N$140,0)</f>
        <v>0</v>
      </c>
      <c r="BJ140" s="7" t="s">
        <v>17</v>
      </c>
      <c r="BK140" s="83">
        <f>ROUND($L$140*$K$140,2)</f>
        <v>0</v>
      </c>
      <c r="BL140" s="7" t="s">
        <v>144</v>
      </c>
    </row>
    <row r="141" spans="2:51" s="7" customFormat="1" ht="15.75" customHeight="1">
      <c r="B141" s="131"/>
      <c r="E141" s="132"/>
      <c r="F141" s="203" t="s">
        <v>170</v>
      </c>
      <c r="G141" s="204"/>
      <c r="H141" s="204"/>
      <c r="I141" s="204"/>
      <c r="K141" s="133">
        <v>2610</v>
      </c>
      <c r="L141" s="151"/>
      <c r="M141" s="151"/>
      <c r="R141" s="134"/>
      <c r="T141" s="135"/>
      <c r="AA141" s="136"/>
      <c r="AT141" s="132" t="s">
        <v>148</v>
      </c>
      <c r="AU141" s="132" t="s">
        <v>100</v>
      </c>
      <c r="AV141" s="132" t="s">
        <v>100</v>
      </c>
      <c r="AW141" s="132" t="s">
        <v>109</v>
      </c>
      <c r="AX141" s="132" t="s">
        <v>17</v>
      </c>
      <c r="AY141" s="132" t="s">
        <v>139</v>
      </c>
    </row>
    <row r="142" spans="2:64" s="7" customFormat="1" ht="27" customHeight="1">
      <c r="B142" s="22"/>
      <c r="C142" s="124" t="s">
        <v>171</v>
      </c>
      <c r="D142" s="124" t="s">
        <v>140</v>
      </c>
      <c r="E142" s="125" t="s">
        <v>172</v>
      </c>
      <c r="F142" s="200" t="s">
        <v>173</v>
      </c>
      <c r="G142" s="192"/>
      <c r="H142" s="192"/>
      <c r="I142" s="192"/>
      <c r="J142" s="126" t="s">
        <v>143</v>
      </c>
      <c r="K142" s="127">
        <v>3330</v>
      </c>
      <c r="L142" s="201"/>
      <c r="M142" s="202"/>
      <c r="N142" s="193">
        <f>ROUND($L$142*$K$142,2)</f>
        <v>0</v>
      </c>
      <c r="O142" s="192"/>
      <c r="P142" s="192"/>
      <c r="Q142" s="192"/>
      <c r="R142" s="23"/>
      <c r="T142" s="128"/>
      <c r="U142" s="29" t="s">
        <v>36</v>
      </c>
      <c r="V142" s="129">
        <v>0</v>
      </c>
      <c r="W142" s="129">
        <f>$V$142*$K$142</f>
        <v>0</v>
      </c>
      <c r="X142" s="129">
        <v>0</v>
      </c>
      <c r="Y142" s="129">
        <f>$X$142*$K$142</f>
        <v>0</v>
      </c>
      <c r="Z142" s="129">
        <v>0</v>
      </c>
      <c r="AA142" s="130">
        <f>$Z$142*$K$142</f>
        <v>0</v>
      </c>
      <c r="AR142" s="7" t="s">
        <v>144</v>
      </c>
      <c r="AT142" s="7" t="s">
        <v>140</v>
      </c>
      <c r="AU142" s="7" t="s">
        <v>100</v>
      </c>
      <c r="AY142" s="7" t="s">
        <v>139</v>
      </c>
      <c r="BE142" s="83">
        <f>IF($U$142="základní",$N$142,0)</f>
        <v>0</v>
      </c>
      <c r="BF142" s="83">
        <f>IF($U$142="snížená",$N$142,0)</f>
        <v>0</v>
      </c>
      <c r="BG142" s="83">
        <f>IF($U$142="zákl. přenesená",$N$142,0)</f>
        <v>0</v>
      </c>
      <c r="BH142" s="83">
        <f>IF($U$142="sníž. přenesená",$N$142,0)</f>
        <v>0</v>
      </c>
      <c r="BI142" s="83">
        <f>IF($U$142="nulová",$N$142,0)</f>
        <v>0</v>
      </c>
      <c r="BJ142" s="7" t="s">
        <v>17</v>
      </c>
      <c r="BK142" s="83">
        <f>ROUND($L$142*$K$142,2)</f>
        <v>0</v>
      </c>
      <c r="BL142" s="7" t="s">
        <v>144</v>
      </c>
    </row>
    <row r="143" spans="2:51" s="7" customFormat="1" ht="15.75" customHeight="1">
      <c r="B143" s="131"/>
      <c r="E143" s="132"/>
      <c r="F143" s="203" t="s">
        <v>174</v>
      </c>
      <c r="G143" s="204"/>
      <c r="H143" s="204"/>
      <c r="I143" s="204"/>
      <c r="K143" s="133">
        <v>3330</v>
      </c>
      <c r="L143" s="151"/>
      <c r="M143" s="151"/>
      <c r="R143" s="134"/>
      <c r="T143" s="135"/>
      <c r="AA143" s="136"/>
      <c r="AT143" s="132" t="s">
        <v>148</v>
      </c>
      <c r="AU143" s="132" t="s">
        <v>100</v>
      </c>
      <c r="AV143" s="132" t="s">
        <v>100</v>
      </c>
      <c r="AW143" s="132" t="s">
        <v>109</v>
      </c>
      <c r="AX143" s="132" t="s">
        <v>17</v>
      </c>
      <c r="AY143" s="132" t="s">
        <v>139</v>
      </c>
    </row>
    <row r="144" spans="2:64" s="7" customFormat="1" ht="27" customHeight="1">
      <c r="B144" s="22"/>
      <c r="C144" s="124" t="s">
        <v>175</v>
      </c>
      <c r="D144" s="124" t="s">
        <v>140</v>
      </c>
      <c r="E144" s="125" t="s">
        <v>176</v>
      </c>
      <c r="F144" s="200" t="s">
        <v>177</v>
      </c>
      <c r="G144" s="192"/>
      <c r="H144" s="192"/>
      <c r="I144" s="192"/>
      <c r="J144" s="126" t="s">
        <v>143</v>
      </c>
      <c r="K144" s="127">
        <v>450</v>
      </c>
      <c r="L144" s="201"/>
      <c r="M144" s="202"/>
      <c r="N144" s="193">
        <f>ROUND($L$144*$K$144,2)</f>
        <v>0</v>
      </c>
      <c r="O144" s="192"/>
      <c r="P144" s="192"/>
      <c r="Q144" s="192"/>
      <c r="R144" s="23"/>
      <c r="T144" s="128"/>
      <c r="U144" s="29" t="s">
        <v>36</v>
      </c>
      <c r="V144" s="129">
        <v>0</v>
      </c>
      <c r="W144" s="129">
        <f>$V$144*$K$144</f>
        <v>0</v>
      </c>
      <c r="X144" s="129">
        <v>0</v>
      </c>
      <c r="Y144" s="129">
        <f>$X$144*$K$144</f>
        <v>0</v>
      </c>
      <c r="Z144" s="129">
        <v>0</v>
      </c>
      <c r="AA144" s="130">
        <f>$Z$144*$K$144</f>
        <v>0</v>
      </c>
      <c r="AR144" s="7" t="s">
        <v>144</v>
      </c>
      <c r="AT144" s="7" t="s">
        <v>140</v>
      </c>
      <c r="AU144" s="7" t="s">
        <v>100</v>
      </c>
      <c r="AY144" s="7" t="s">
        <v>139</v>
      </c>
      <c r="BE144" s="83">
        <f>IF($U$144="základní",$N$144,0)</f>
        <v>0</v>
      </c>
      <c r="BF144" s="83">
        <f>IF($U$144="snížená",$N$144,0)</f>
        <v>0</v>
      </c>
      <c r="BG144" s="83">
        <f>IF($U$144="zákl. přenesená",$N$144,0)</f>
        <v>0</v>
      </c>
      <c r="BH144" s="83">
        <f>IF($U$144="sníž. přenesená",$N$144,0)</f>
        <v>0</v>
      </c>
      <c r="BI144" s="83">
        <f>IF($U$144="nulová",$N$144,0)</f>
        <v>0</v>
      </c>
      <c r="BJ144" s="7" t="s">
        <v>17</v>
      </c>
      <c r="BK144" s="83">
        <f>ROUND($L$144*$K$144,2)</f>
        <v>0</v>
      </c>
      <c r="BL144" s="7" t="s">
        <v>144</v>
      </c>
    </row>
    <row r="145" spans="2:51" s="7" customFormat="1" ht="15.75" customHeight="1">
      <c r="B145" s="131"/>
      <c r="E145" s="132"/>
      <c r="F145" s="203" t="s">
        <v>178</v>
      </c>
      <c r="G145" s="204"/>
      <c r="H145" s="204"/>
      <c r="I145" s="204"/>
      <c r="K145" s="133">
        <v>450</v>
      </c>
      <c r="L145" s="151"/>
      <c r="M145" s="151"/>
      <c r="R145" s="134"/>
      <c r="T145" s="135"/>
      <c r="AA145" s="136"/>
      <c r="AT145" s="132" t="s">
        <v>148</v>
      </c>
      <c r="AU145" s="132" t="s">
        <v>100</v>
      </c>
      <c r="AV145" s="132" t="s">
        <v>100</v>
      </c>
      <c r="AW145" s="132" t="s">
        <v>109</v>
      </c>
      <c r="AX145" s="132" t="s">
        <v>17</v>
      </c>
      <c r="AY145" s="132" t="s">
        <v>139</v>
      </c>
    </row>
    <row r="146" spans="2:64" s="7" customFormat="1" ht="27" customHeight="1">
      <c r="B146" s="22"/>
      <c r="C146" s="124" t="s">
        <v>165</v>
      </c>
      <c r="D146" s="124" t="s">
        <v>140</v>
      </c>
      <c r="E146" s="125" t="s">
        <v>179</v>
      </c>
      <c r="F146" s="200" t="s">
        <v>180</v>
      </c>
      <c r="G146" s="192"/>
      <c r="H146" s="192"/>
      <c r="I146" s="192"/>
      <c r="J146" s="126" t="s">
        <v>143</v>
      </c>
      <c r="K146" s="127">
        <v>2</v>
      </c>
      <c r="L146" s="201"/>
      <c r="M146" s="202"/>
      <c r="N146" s="193">
        <f>ROUND($L$146*$K$146,2)</f>
        <v>0</v>
      </c>
      <c r="O146" s="192"/>
      <c r="P146" s="192"/>
      <c r="Q146" s="192"/>
      <c r="R146" s="23"/>
      <c r="T146" s="128"/>
      <c r="U146" s="29" t="s">
        <v>36</v>
      </c>
      <c r="V146" s="129">
        <v>0.4</v>
      </c>
      <c r="W146" s="129">
        <f>$V$146*$K$146</f>
        <v>0.8</v>
      </c>
      <c r="X146" s="129">
        <v>0</v>
      </c>
      <c r="Y146" s="129">
        <f>$X$146*$K$146</f>
        <v>0</v>
      </c>
      <c r="Z146" s="129">
        <v>0</v>
      </c>
      <c r="AA146" s="130">
        <f>$Z$146*$K$146</f>
        <v>0</v>
      </c>
      <c r="AR146" s="7" t="s">
        <v>144</v>
      </c>
      <c r="AT146" s="7" t="s">
        <v>140</v>
      </c>
      <c r="AU146" s="7" t="s">
        <v>100</v>
      </c>
      <c r="AY146" s="7" t="s">
        <v>139</v>
      </c>
      <c r="BE146" s="83">
        <f>IF($U$146="základní",$N$146,0)</f>
        <v>0</v>
      </c>
      <c r="BF146" s="83">
        <f>IF($U$146="snížená",$N$146,0)</f>
        <v>0</v>
      </c>
      <c r="BG146" s="83">
        <f>IF($U$146="zákl. přenesená",$N$146,0)</f>
        <v>0</v>
      </c>
      <c r="BH146" s="83">
        <f>IF($U$146="sníž. přenesená",$N$146,0)</f>
        <v>0</v>
      </c>
      <c r="BI146" s="83">
        <f>IF($U$146="nulová",$N$146,0)</f>
        <v>0</v>
      </c>
      <c r="BJ146" s="7" t="s">
        <v>17</v>
      </c>
      <c r="BK146" s="83">
        <f>ROUND($L$146*$K$146,2)</f>
        <v>0</v>
      </c>
      <c r="BL146" s="7" t="s">
        <v>144</v>
      </c>
    </row>
    <row r="147" spans="2:64" s="7" customFormat="1" ht="39" customHeight="1">
      <c r="B147" s="22"/>
      <c r="C147" s="124" t="s">
        <v>181</v>
      </c>
      <c r="D147" s="124" t="s">
        <v>140</v>
      </c>
      <c r="E147" s="125" t="s">
        <v>182</v>
      </c>
      <c r="F147" s="200" t="s">
        <v>183</v>
      </c>
      <c r="G147" s="192"/>
      <c r="H147" s="192"/>
      <c r="I147" s="192"/>
      <c r="J147" s="126" t="s">
        <v>143</v>
      </c>
      <c r="K147" s="127">
        <v>180</v>
      </c>
      <c r="L147" s="201"/>
      <c r="M147" s="202"/>
      <c r="N147" s="193">
        <f>ROUND($L$147*$K$147,2)</f>
        <v>0</v>
      </c>
      <c r="O147" s="192"/>
      <c r="P147" s="192"/>
      <c r="Q147" s="192"/>
      <c r="R147" s="23"/>
      <c r="T147" s="128"/>
      <c r="U147" s="29" t="s">
        <v>36</v>
      </c>
      <c r="V147" s="129">
        <v>0</v>
      </c>
      <c r="W147" s="129">
        <f>$V$147*$K$147</f>
        <v>0</v>
      </c>
      <c r="X147" s="129">
        <v>0</v>
      </c>
      <c r="Y147" s="129">
        <f>$X$147*$K$147</f>
        <v>0</v>
      </c>
      <c r="Z147" s="129">
        <v>0</v>
      </c>
      <c r="AA147" s="130">
        <f>$Z$147*$K$147</f>
        <v>0</v>
      </c>
      <c r="AR147" s="7" t="s">
        <v>144</v>
      </c>
      <c r="AT147" s="7" t="s">
        <v>140</v>
      </c>
      <c r="AU147" s="7" t="s">
        <v>100</v>
      </c>
      <c r="AY147" s="7" t="s">
        <v>139</v>
      </c>
      <c r="BE147" s="83">
        <f>IF($U$147="základní",$N$147,0)</f>
        <v>0</v>
      </c>
      <c r="BF147" s="83">
        <f>IF($U$147="snížená",$N$147,0)</f>
        <v>0</v>
      </c>
      <c r="BG147" s="83">
        <f>IF($U$147="zákl. přenesená",$N$147,0)</f>
        <v>0</v>
      </c>
      <c r="BH147" s="83">
        <f>IF($U$147="sníž. přenesená",$N$147,0)</f>
        <v>0</v>
      </c>
      <c r="BI147" s="83">
        <f>IF($U$147="nulová",$N$147,0)</f>
        <v>0</v>
      </c>
      <c r="BJ147" s="7" t="s">
        <v>17</v>
      </c>
      <c r="BK147" s="83">
        <f>ROUND($L$147*$K$147,2)</f>
        <v>0</v>
      </c>
      <c r="BL147" s="7" t="s">
        <v>144</v>
      </c>
    </row>
    <row r="148" spans="2:51" s="7" customFormat="1" ht="15.75" customHeight="1">
      <c r="B148" s="131"/>
      <c r="E148" s="132"/>
      <c r="F148" s="203" t="s">
        <v>184</v>
      </c>
      <c r="G148" s="204"/>
      <c r="H148" s="204"/>
      <c r="I148" s="204"/>
      <c r="K148" s="133">
        <v>180</v>
      </c>
      <c r="L148" s="151"/>
      <c r="M148" s="151"/>
      <c r="R148" s="134"/>
      <c r="T148" s="135"/>
      <c r="AA148" s="136"/>
      <c r="AT148" s="132" t="s">
        <v>148</v>
      </c>
      <c r="AU148" s="132" t="s">
        <v>100</v>
      </c>
      <c r="AV148" s="132" t="s">
        <v>100</v>
      </c>
      <c r="AW148" s="132" t="s">
        <v>109</v>
      </c>
      <c r="AX148" s="132" t="s">
        <v>17</v>
      </c>
      <c r="AY148" s="132" t="s">
        <v>139</v>
      </c>
    </row>
    <row r="149" spans="2:63" s="114" customFormat="1" ht="37.5" customHeight="1">
      <c r="B149" s="115"/>
      <c r="D149" s="116" t="s">
        <v>112</v>
      </c>
      <c r="L149" s="152"/>
      <c r="M149" s="152"/>
      <c r="N149" s="195">
        <f>$BK$149</f>
        <v>0</v>
      </c>
      <c r="O149" s="196"/>
      <c r="P149" s="196"/>
      <c r="Q149" s="196"/>
      <c r="R149" s="118"/>
      <c r="T149" s="119"/>
      <c r="W149" s="120">
        <f>$W$150</f>
        <v>0</v>
      </c>
      <c r="Y149" s="120">
        <f>$Y$150</f>
        <v>0</v>
      </c>
      <c r="AA149" s="121">
        <f>$AA$150</f>
        <v>0</v>
      </c>
      <c r="AR149" s="117" t="s">
        <v>167</v>
      </c>
      <c r="AT149" s="117" t="s">
        <v>70</v>
      </c>
      <c r="AU149" s="117" t="s">
        <v>71</v>
      </c>
      <c r="AY149" s="117" t="s">
        <v>139</v>
      </c>
      <c r="BK149" s="122">
        <f>$BK$150</f>
        <v>0</v>
      </c>
    </row>
    <row r="150" spans="2:63" s="114" customFormat="1" ht="21" customHeight="1">
      <c r="B150" s="115"/>
      <c r="D150" s="123" t="s">
        <v>113</v>
      </c>
      <c r="L150" s="152"/>
      <c r="M150" s="152"/>
      <c r="N150" s="197">
        <f>$BK$150</f>
        <v>0</v>
      </c>
      <c r="O150" s="196"/>
      <c r="P150" s="196"/>
      <c r="Q150" s="196"/>
      <c r="R150" s="118"/>
      <c r="T150" s="119"/>
      <c r="W150" s="120">
        <f>SUM($W$151:$W$154)</f>
        <v>0</v>
      </c>
      <c r="Y150" s="120">
        <f>SUM($Y$151:$Y$154)</f>
        <v>0</v>
      </c>
      <c r="AA150" s="121">
        <f>SUM($AA$151:$AA$154)</f>
        <v>0</v>
      </c>
      <c r="AR150" s="117" t="s">
        <v>167</v>
      </c>
      <c r="AT150" s="117" t="s">
        <v>70</v>
      </c>
      <c r="AU150" s="117" t="s">
        <v>17</v>
      </c>
      <c r="AY150" s="117" t="s">
        <v>139</v>
      </c>
      <c r="BK150" s="122">
        <f>SUM($BK$151:$BK$154)</f>
        <v>0</v>
      </c>
    </row>
    <row r="151" spans="2:64" s="7" customFormat="1" ht="15.75" customHeight="1">
      <c r="B151" s="22"/>
      <c r="C151" s="124" t="s">
        <v>22</v>
      </c>
      <c r="D151" s="124" t="s">
        <v>140</v>
      </c>
      <c r="E151" s="125" t="s">
        <v>185</v>
      </c>
      <c r="F151" s="200" t="s">
        <v>186</v>
      </c>
      <c r="G151" s="192"/>
      <c r="H151" s="192"/>
      <c r="I151" s="192"/>
      <c r="J151" s="126" t="s">
        <v>187</v>
      </c>
      <c r="K151" s="127">
        <v>1</v>
      </c>
      <c r="L151" s="201"/>
      <c r="M151" s="202"/>
      <c r="N151" s="193">
        <f>ROUND($L$151*$K$151,2)</f>
        <v>0</v>
      </c>
      <c r="O151" s="192"/>
      <c r="P151" s="192"/>
      <c r="Q151" s="192"/>
      <c r="R151" s="23"/>
      <c r="T151" s="128"/>
      <c r="U151" s="29" t="s">
        <v>36</v>
      </c>
      <c r="V151" s="129">
        <v>0</v>
      </c>
      <c r="W151" s="129">
        <f>$V$151*$K$151</f>
        <v>0</v>
      </c>
      <c r="X151" s="129">
        <v>0</v>
      </c>
      <c r="Y151" s="129">
        <f>$X$151*$K$151</f>
        <v>0</v>
      </c>
      <c r="Z151" s="129">
        <v>0</v>
      </c>
      <c r="AA151" s="130">
        <f>$Z$151*$K$151</f>
        <v>0</v>
      </c>
      <c r="AR151" s="7" t="s">
        <v>188</v>
      </c>
      <c r="AT151" s="7" t="s">
        <v>140</v>
      </c>
      <c r="AU151" s="7" t="s">
        <v>100</v>
      </c>
      <c r="AY151" s="7" t="s">
        <v>139</v>
      </c>
      <c r="BE151" s="83">
        <f>IF($U$151="základní",$N$151,0)</f>
        <v>0</v>
      </c>
      <c r="BF151" s="83">
        <f>IF($U$151="snížená",$N$151,0)</f>
        <v>0</v>
      </c>
      <c r="BG151" s="83">
        <f>IF($U$151="zákl. přenesená",$N$151,0)</f>
        <v>0</v>
      </c>
      <c r="BH151" s="83">
        <f>IF($U$151="sníž. přenesená",$N$151,0)</f>
        <v>0</v>
      </c>
      <c r="BI151" s="83">
        <f>IF($U$151="nulová",$N$151,0)</f>
        <v>0</v>
      </c>
      <c r="BJ151" s="7" t="s">
        <v>17</v>
      </c>
      <c r="BK151" s="83">
        <f>ROUND($L$151*$K$151,2)</f>
        <v>0</v>
      </c>
      <c r="BL151" s="7" t="s">
        <v>188</v>
      </c>
    </row>
    <row r="152" spans="2:51" s="7" customFormat="1" ht="15.75" customHeight="1">
      <c r="B152" s="131"/>
      <c r="E152" s="132"/>
      <c r="F152" s="203" t="s">
        <v>189</v>
      </c>
      <c r="G152" s="204"/>
      <c r="H152" s="204"/>
      <c r="I152" s="204"/>
      <c r="K152" s="133">
        <v>1</v>
      </c>
      <c r="L152" s="151"/>
      <c r="M152" s="151"/>
      <c r="R152" s="134"/>
      <c r="T152" s="135"/>
      <c r="AA152" s="136"/>
      <c r="AT152" s="132" t="s">
        <v>148</v>
      </c>
      <c r="AU152" s="132" t="s">
        <v>100</v>
      </c>
      <c r="AV152" s="132" t="s">
        <v>100</v>
      </c>
      <c r="AW152" s="132" t="s">
        <v>109</v>
      </c>
      <c r="AX152" s="132" t="s">
        <v>17</v>
      </c>
      <c r="AY152" s="132" t="s">
        <v>139</v>
      </c>
    </row>
    <row r="153" spans="2:64" s="7" customFormat="1" ht="15.75" customHeight="1">
      <c r="B153" s="22"/>
      <c r="C153" s="124" t="s">
        <v>190</v>
      </c>
      <c r="D153" s="124" t="s">
        <v>140</v>
      </c>
      <c r="E153" s="125" t="s">
        <v>191</v>
      </c>
      <c r="F153" s="200" t="s">
        <v>192</v>
      </c>
      <c r="G153" s="192"/>
      <c r="H153" s="192"/>
      <c r="I153" s="192"/>
      <c r="J153" s="126" t="s">
        <v>187</v>
      </c>
      <c r="K153" s="127">
        <v>1</v>
      </c>
      <c r="L153" s="201"/>
      <c r="M153" s="202"/>
      <c r="N153" s="193">
        <f>ROUND($L$153*$K$153,2)</f>
        <v>0</v>
      </c>
      <c r="O153" s="192"/>
      <c r="P153" s="192"/>
      <c r="Q153" s="192"/>
      <c r="R153" s="23"/>
      <c r="T153" s="128"/>
      <c r="U153" s="29" t="s">
        <v>36</v>
      </c>
      <c r="V153" s="129">
        <v>0</v>
      </c>
      <c r="W153" s="129">
        <f>$V$153*$K$153</f>
        <v>0</v>
      </c>
      <c r="X153" s="129">
        <v>0</v>
      </c>
      <c r="Y153" s="129">
        <f>$X$153*$K$153</f>
        <v>0</v>
      </c>
      <c r="Z153" s="129">
        <v>0</v>
      </c>
      <c r="AA153" s="130">
        <f>$Z$153*$K$153</f>
        <v>0</v>
      </c>
      <c r="AR153" s="7" t="s">
        <v>188</v>
      </c>
      <c r="AT153" s="7" t="s">
        <v>140</v>
      </c>
      <c r="AU153" s="7" t="s">
        <v>100</v>
      </c>
      <c r="AY153" s="7" t="s">
        <v>139</v>
      </c>
      <c r="BE153" s="83">
        <f>IF($U$153="základní",$N$153,0)</f>
        <v>0</v>
      </c>
      <c r="BF153" s="83">
        <f>IF($U$153="snížená",$N$153,0)</f>
        <v>0</v>
      </c>
      <c r="BG153" s="83">
        <f>IF($U$153="zákl. přenesená",$N$153,0)</f>
        <v>0</v>
      </c>
      <c r="BH153" s="83">
        <f>IF($U$153="sníž. přenesená",$N$153,0)</f>
        <v>0</v>
      </c>
      <c r="BI153" s="83">
        <f>IF($U$153="nulová",$N$153,0)</f>
        <v>0</v>
      </c>
      <c r="BJ153" s="7" t="s">
        <v>17</v>
      </c>
      <c r="BK153" s="83">
        <f>ROUND($L$153*$K$153,2)</f>
        <v>0</v>
      </c>
      <c r="BL153" s="7" t="s">
        <v>188</v>
      </c>
    </row>
    <row r="154" spans="2:51" s="7" customFormat="1" ht="15.75" customHeight="1">
      <c r="B154" s="131"/>
      <c r="E154" s="132"/>
      <c r="F154" s="203" t="s">
        <v>193</v>
      </c>
      <c r="G154" s="204"/>
      <c r="H154" s="204"/>
      <c r="I154" s="204"/>
      <c r="K154" s="133">
        <v>1</v>
      </c>
      <c r="R154" s="134"/>
      <c r="T154" s="135"/>
      <c r="AA154" s="136"/>
      <c r="AT154" s="132" t="s">
        <v>148</v>
      </c>
      <c r="AU154" s="132" t="s">
        <v>100</v>
      </c>
      <c r="AV154" s="132" t="s">
        <v>100</v>
      </c>
      <c r="AW154" s="132" t="s">
        <v>109</v>
      </c>
      <c r="AX154" s="132" t="s">
        <v>17</v>
      </c>
      <c r="AY154" s="132" t="s">
        <v>139</v>
      </c>
    </row>
    <row r="155" spans="2:63" s="7" customFormat="1" ht="51" customHeight="1">
      <c r="B155" s="22"/>
      <c r="D155" s="116" t="s">
        <v>194</v>
      </c>
      <c r="N155" s="195">
        <f>$BK$155</f>
        <v>0</v>
      </c>
      <c r="O155" s="159"/>
      <c r="P155" s="159"/>
      <c r="Q155" s="159"/>
      <c r="R155" s="23"/>
      <c r="T155" s="54"/>
      <c r="AA155" s="55"/>
      <c r="AT155" s="7" t="s">
        <v>70</v>
      </c>
      <c r="AU155" s="7" t="s">
        <v>71</v>
      </c>
      <c r="AY155" s="7" t="s">
        <v>195</v>
      </c>
      <c r="BK155" s="83">
        <f>SUM($BK$156:$BK$160)</f>
        <v>0</v>
      </c>
    </row>
    <row r="156" spans="2:63" s="7" customFormat="1" ht="23.25" customHeight="1">
      <c r="B156" s="22"/>
      <c r="C156" s="147"/>
      <c r="D156" s="147" t="s">
        <v>140</v>
      </c>
      <c r="E156" s="148"/>
      <c r="F156" s="189"/>
      <c r="G156" s="190"/>
      <c r="H156" s="190"/>
      <c r="I156" s="190"/>
      <c r="J156" s="149"/>
      <c r="K156" s="127"/>
      <c r="L156" s="191"/>
      <c r="M156" s="192"/>
      <c r="N156" s="193">
        <f>$BK$156</f>
        <v>0</v>
      </c>
      <c r="O156" s="192"/>
      <c r="P156" s="192"/>
      <c r="Q156" s="192"/>
      <c r="R156" s="23"/>
      <c r="T156" s="128"/>
      <c r="U156" s="150" t="s">
        <v>36</v>
      </c>
      <c r="AA156" s="55"/>
      <c r="AT156" s="7" t="s">
        <v>195</v>
      </c>
      <c r="AU156" s="7" t="s">
        <v>17</v>
      </c>
      <c r="AY156" s="7" t="s">
        <v>195</v>
      </c>
      <c r="BE156" s="83">
        <f>IF($U$156="základní",$N$156,0)</f>
        <v>0</v>
      </c>
      <c r="BF156" s="83">
        <f>IF($U$156="snížená",$N$156,0)</f>
        <v>0</v>
      </c>
      <c r="BG156" s="83">
        <f>IF($U$156="zákl. přenesená",$N$156,0)</f>
        <v>0</v>
      </c>
      <c r="BH156" s="83">
        <f>IF($U$156="sníž. přenesená",$N$156,0)</f>
        <v>0</v>
      </c>
      <c r="BI156" s="83">
        <f>IF($U$156="nulová",$N$156,0)</f>
        <v>0</v>
      </c>
      <c r="BJ156" s="7" t="s">
        <v>17</v>
      </c>
      <c r="BK156" s="83">
        <f>$L$156*$K$156</f>
        <v>0</v>
      </c>
    </row>
    <row r="157" spans="2:63" s="7" customFormat="1" ht="23.25" customHeight="1">
      <c r="B157" s="22"/>
      <c r="C157" s="147"/>
      <c r="D157" s="147" t="s">
        <v>140</v>
      </c>
      <c r="E157" s="148"/>
      <c r="F157" s="189"/>
      <c r="G157" s="190"/>
      <c r="H157" s="190"/>
      <c r="I157" s="190"/>
      <c r="J157" s="149"/>
      <c r="K157" s="127"/>
      <c r="L157" s="191"/>
      <c r="M157" s="192"/>
      <c r="N157" s="193">
        <f>$BK$157</f>
        <v>0</v>
      </c>
      <c r="O157" s="192"/>
      <c r="P157" s="192"/>
      <c r="Q157" s="192"/>
      <c r="R157" s="23"/>
      <c r="T157" s="128"/>
      <c r="U157" s="150" t="s">
        <v>36</v>
      </c>
      <c r="AA157" s="55"/>
      <c r="AT157" s="7" t="s">
        <v>195</v>
      </c>
      <c r="AU157" s="7" t="s">
        <v>17</v>
      </c>
      <c r="AY157" s="7" t="s">
        <v>195</v>
      </c>
      <c r="BE157" s="83">
        <f>IF($U$157="základní",$N$157,0)</f>
        <v>0</v>
      </c>
      <c r="BF157" s="83">
        <f>IF($U$157="snížená",$N$157,0)</f>
        <v>0</v>
      </c>
      <c r="BG157" s="83">
        <f>IF($U$157="zákl. přenesená",$N$157,0)</f>
        <v>0</v>
      </c>
      <c r="BH157" s="83">
        <f>IF($U$157="sníž. přenesená",$N$157,0)</f>
        <v>0</v>
      </c>
      <c r="BI157" s="83">
        <f>IF($U$157="nulová",$N$157,0)</f>
        <v>0</v>
      </c>
      <c r="BJ157" s="7" t="s">
        <v>17</v>
      </c>
      <c r="BK157" s="83">
        <f>$L$157*$K$157</f>
        <v>0</v>
      </c>
    </row>
    <row r="158" spans="2:63" s="7" customFormat="1" ht="23.25" customHeight="1">
      <c r="B158" s="22"/>
      <c r="C158" s="147"/>
      <c r="D158" s="147" t="s">
        <v>140</v>
      </c>
      <c r="E158" s="148"/>
      <c r="F158" s="189"/>
      <c r="G158" s="190"/>
      <c r="H158" s="190"/>
      <c r="I158" s="190"/>
      <c r="J158" s="149"/>
      <c r="K158" s="127"/>
      <c r="L158" s="191"/>
      <c r="M158" s="192"/>
      <c r="N158" s="193">
        <f>$BK$158</f>
        <v>0</v>
      </c>
      <c r="O158" s="192"/>
      <c r="P158" s="192"/>
      <c r="Q158" s="192"/>
      <c r="R158" s="23"/>
      <c r="T158" s="128"/>
      <c r="U158" s="150" t="s">
        <v>36</v>
      </c>
      <c r="AA158" s="55"/>
      <c r="AT158" s="7" t="s">
        <v>195</v>
      </c>
      <c r="AU158" s="7" t="s">
        <v>17</v>
      </c>
      <c r="AY158" s="7" t="s">
        <v>195</v>
      </c>
      <c r="BE158" s="83">
        <f>IF($U$158="základní",$N$158,0)</f>
        <v>0</v>
      </c>
      <c r="BF158" s="83">
        <f>IF($U$158="snížená",$N$158,0)</f>
        <v>0</v>
      </c>
      <c r="BG158" s="83">
        <f>IF($U$158="zákl. přenesená",$N$158,0)</f>
        <v>0</v>
      </c>
      <c r="BH158" s="83">
        <f>IF($U$158="sníž. přenesená",$N$158,0)</f>
        <v>0</v>
      </c>
      <c r="BI158" s="83">
        <f>IF($U$158="nulová",$N$158,0)</f>
        <v>0</v>
      </c>
      <c r="BJ158" s="7" t="s">
        <v>17</v>
      </c>
      <c r="BK158" s="83">
        <f>$L$158*$K$158</f>
        <v>0</v>
      </c>
    </row>
    <row r="159" spans="2:63" s="7" customFormat="1" ht="23.25" customHeight="1">
      <c r="B159" s="22"/>
      <c r="C159" s="147"/>
      <c r="D159" s="147" t="s">
        <v>140</v>
      </c>
      <c r="E159" s="148"/>
      <c r="F159" s="189"/>
      <c r="G159" s="190"/>
      <c r="H159" s="190"/>
      <c r="I159" s="190"/>
      <c r="J159" s="149"/>
      <c r="K159" s="127"/>
      <c r="L159" s="191"/>
      <c r="M159" s="192"/>
      <c r="N159" s="193">
        <f>$BK$159</f>
        <v>0</v>
      </c>
      <c r="O159" s="192"/>
      <c r="P159" s="192"/>
      <c r="Q159" s="192"/>
      <c r="R159" s="23"/>
      <c r="T159" s="128"/>
      <c r="U159" s="150" t="s">
        <v>36</v>
      </c>
      <c r="AA159" s="55"/>
      <c r="AT159" s="7" t="s">
        <v>195</v>
      </c>
      <c r="AU159" s="7" t="s">
        <v>17</v>
      </c>
      <c r="AY159" s="7" t="s">
        <v>195</v>
      </c>
      <c r="BE159" s="83">
        <f>IF($U$159="základní",$N$159,0)</f>
        <v>0</v>
      </c>
      <c r="BF159" s="83">
        <f>IF($U$159="snížená",$N$159,0)</f>
        <v>0</v>
      </c>
      <c r="BG159" s="83">
        <f>IF($U$159="zákl. přenesená",$N$159,0)</f>
        <v>0</v>
      </c>
      <c r="BH159" s="83">
        <f>IF($U$159="sníž. přenesená",$N$159,0)</f>
        <v>0</v>
      </c>
      <c r="BI159" s="83">
        <f>IF($U$159="nulová",$N$159,0)</f>
        <v>0</v>
      </c>
      <c r="BJ159" s="7" t="s">
        <v>17</v>
      </c>
      <c r="BK159" s="83">
        <f>$L$159*$K$159</f>
        <v>0</v>
      </c>
    </row>
    <row r="160" spans="2:63" s="7" customFormat="1" ht="23.25" customHeight="1">
      <c r="B160" s="22"/>
      <c r="C160" s="147"/>
      <c r="D160" s="147" t="s">
        <v>140</v>
      </c>
      <c r="E160" s="148"/>
      <c r="F160" s="189"/>
      <c r="G160" s="190"/>
      <c r="H160" s="190"/>
      <c r="I160" s="190"/>
      <c r="J160" s="149"/>
      <c r="K160" s="127"/>
      <c r="L160" s="191"/>
      <c r="M160" s="192"/>
      <c r="N160" s="193">
        <f>$BK$160</f>
        <v>0</v>
      </c>
      <c r="O160" s="192"/>
      <c r="P160" s="192"/>
      <c r="Q160" s="192"/>
      <c r="R160" s="23"/>
      <c r="T160" s="128"/>
      <c r="U160" s="150" t="s">
        <v>36</v>
      </c>
      <c r="V160" s="41"/>
      <c r="W160" s="41"/>
      <c r="X160" s="41"/>
      <c r="Y160" s="41"/>
      <c r="Z160" s="41"/>
      <c r="AA160" s="43"/>
      <c r="AT160" s="7" t="s">
        <v>195</v>
      </c>
      <c r="AU160" s="7" t="s">
        <v>17</v>
      </c>
      <c r="AY160" s="7" t="s">
        <v>195</v>
      </c>
      <c r="BE160" s="83">
        <f>IF($U$160="základní",$N$160,0)</f>
        <v>0</v>
      </c>
      <c r="BF160" s="83">
        <f>IF($U$160="snížená",$N$160,0)</f>
        <v>0</v>
      </c>
      <c r="BG160" s="83">
        <f>IF($U$160="zákl. přenesená",$N$160,0)</f>
        <v>0</v>
      </c>
      <c r="BH160" s="83">
        <f>IF($U$160="sníž. přenesená",$N$160,0)</f>
        <v>0</v>
      </c>
      <c r="BI160" s="83">
        <f>IF($U$160="nulová",$N$160,0)</f>
        <v>0</v>
      </c>
      <c r="BJ160" s="7" t="s">
        <v>17</v>
      </c>
      <c r="BK160" s="83">
        <f>$L$160*$K$160</f>
        <v>0</v>
      </c>
    </row>
    <row r="161" spans="2:18" s="7" customFormat="1" ht="7.5" customHeight="1"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6"/>
    </row>
  </sheetData>
  <sheetProtection sheet="1"/>
  <mergeCells count="139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H33:J33"/>
    <mergeCell ref="M33:P33"/>
    <mergeCell ref="L35:P35"/>
    <mergeCell ref="C76:Q76"/>
    <mergeCell ref="H31:J31"/>
    <mergeCell ref="M31:P31"/>
    <mergeCell ref="H32:J32"/>
    <mergeCell ref="M32:P32"/>
    <mergeCell ref="M84:Q84"/>
    <mergeCell ref="C86:G86"/>
    <mergeCell ref="N86:Q86"/>
    <mergeCell ref="N88:Q88"/>
    <mergeCell ref="F78:P78"/>
    <mergeCell ref="F79:P79"/>
    <mergeCell ref="M81:P81"/>
    <mergeCell ref="M83:Q83"/>
    <mergeCell ref="N93:Q93"/>
    <mergeCell ref="N95:Q95"/>
    <mergeCell ref="D96:H96"/>
    <mergeCell ref="N96:Q96"/>
    <mergeCell ref="N89:Q89"/>
    <mergeCell ref="N90:Q90"/>
    <mergeCell ref="N91:Q91"/>
    <mergeCell ref="N92:Q92"/>
    <mergeCell ref="D99:H99"/>
    <mergeCell ref="N99:Q99"/>
    <mergeCell ref="D100:H100"/>
    <mergeCell ref="N100:Q100"/>
    <mergeCell ref="D97:H97"/>
    <mergeCell ref="N97:Q97"/>
    <mergeCell ref="D98:H98"/>
    <mergeCell ref="N98:Q98"/>
    <mergeCell ref="F112:P112"/>
    <mergeCell ref="M114:P114"/>
    <mergeCell ref="M116:Q116"/>
    <mergeCell ref="M117:Q117"/>
    <mergeCell ref="N101:Q101"/>
    <mergeCell ref="L103:Q103"/>
    <mergeCell ref="C109:Q109"/>
    <mergeCell ref="F111:P111"/>
    <mergeCell ref="N124:Q124"/>
    <mergeCell ref="F125:I125"/>
    <mergeCell ref="F119:I119"/>
    <mergeCell ref="L119:M119"/>
    <mergeCell ref="N119:Q119"/>
    <mergeCell ref="F123:I123"/>
    <mergeCell ref="L123:M123"/>
    <mergeCell ref="N123:Q123"/>
    <mergeCell ref="F126:I126"/>
    <mergeCell ref="F127:I127"/>
    <mergeCell ref="F128:I128"/>
    <mergeCell ref="F129:I129"/>
    <mergeCell ref="F124:I124"/>
    <mergeCell ref="L124:M124"/>
    <mergeCell ref="N134:Q134"/>
    <mergeCell ref="F135:I135"/>
    <mergeCell ref="F130:I130"/>
    <mergeCell ref="F131:I131"/>
    <mergeCell ref="F132:I132"/>
    <mergeCell ref="F133:I133"/>
    <mergeCell ref="F136:I136"/>
    <mergeCell ref="F137:I137"/>
    <mergeCell ref="F138:I138"/>
    <mergeCell ref="L138:M138"/>
    <mergeCell ref="F134:I134"/>
    <mergeCell ref="L134:M134"/>
    <mergeCell ref="F141:I141"/>
    <mergeCell ref="F142:I142"/>
    <mergeCell ref="L142:M142"/>
    <mergeCell ref="N142:Q142"/>
    <mergeCell ref="N138:Q138"/>
    <mergeCell ref="F139:I139"/>
    <mergeCell ref="F140:I140"/>
    <mergeCell ref="L140:M140"/>
    <mergeCell ref="N140:Q140"/>
    <mergeCell ref="F145:I145"/>
    <mergeCell ref="F146:I146"/>
    <mergeCell ref="L146:M146"/>
    <mergeCell ref="N146:Q146"/>
    <mergeCell ref="F143:I143"/>
    <mergeCell ref="F144:I144"/>
    <mergeCell ref="L144:M144"/>
    <mergeCell ref="N144:Q144"/>
    <mergeCell ref="F151:I151"/>
    <mergeCell ref="L151:M151"/>
    <mergeCell ref="N151:Q151"/>
    <mergeCell ref="F152:I152"/>
    <mergeCell ref="F147:I147"/>
    <mergeCell ref="L147:M147"/>
    <mergeCell ref="N147:Q147"/>
    <mergeCell ref="F148:I148"/>
    <mergeCell ref="F157:I157"/>
    <mergeCell ref="L157:M157"/>
    <mergeCell ref="N157:Q157"/>
    <mergeCell ref="F153:I153"/>
    <mergeCell ref="L153:M153"/>
    <mergeCell ref="N153:Q153"/>
    <mergeCell ref="F154:I154"/>
    <mergeCell ref="L159:M159"/>
    <mergeCell ref="N159:Q159"/>
    <mergeCell ref="H1:K1"/>
    <mergeCell ref="N155:Q155"/>
    <mergeCell ref="F158:I158"/>
    <mergeCell ref="L158:M158"/>
    <mergeCell ref="N158:Q158"/>
    <mergeCell ref="F156:I156"/>
    <mergeCell ref="L156:M156"/>
    <mergeCell ref="N156:Q156"/>
    <mergeCell ref="S2:AC2"/>
    <mergeCell ref="F160:I160"/>
    <mergeCell ref="L160:M160"/>
    <mergeCell ref="N160:Q160"/>
    <mergeCell ref="N120:Q120"/>
    <mergeCell ref="N121:Q121"/>
    <mergeCell ref="N122:Q122"/>
    <mergeCell ref="N149:Q149"/>
    <mergeCell ref="N150:Q150"/>
    <mergeCell ref="F159:I159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M106" sqref="M10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5"/>
      <c r="H1" s="198"/>
      <c r="I1" s="199"/>
      <c r="J1" s="199"/>
      <c r="K1" s="199"/>
      <c r="L1" s="5"/>
      <c r="M1" s="5"/>
      <c r="N1" s="5"/>
      <c r="O1" s="6" t="s">
        <v>99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3" t="s">
        <v>4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S2" s="156" t="s">
        <v>5</v>
      </c>
      <c r="T2" s="157"/>
      <c r="U2" s="157"/>
      <c r="V2" s="157"/>
      <c r="W2" s="157"/>
      <c r="X2" s="157"/>
      <c r="Y2" s="157"/>
      <c r="Z2" s="157"/>
      <c r="AA2" s="157"/>
      <c r="AB2" s="157"/>
      <c r="AC2" s="157"/>
      <c r="AT2" s="2" t="s">
        <v>81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2" t="s">
        <v>100</v>
      </c>
    </row>
    <row r="4" spans="2:46" s="2" customFormat="1" ht="37.5" customHeight="1">
      <c r="B4" s="11"/>
      <c r="C4" s="172" t="s">
        <v>101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2"/>
      <c r="T4" s="13" t="s">
        <v>10</v>
      </c>
      <c r="AT4" s="2" t="s">
        <v>3</v>
      </c>
    </row>
    <row r="5" spans="2:18" s="2" customFormat="1" ht="7.5" customHeight="1">
      <c r="B5" s="11"/>
      <c r="R5" s="12"/>
    </row>
    <row r="6" spans="2:18" s="2" customFormat="1" ht="15.75" customHeight="1">
      <c r="B6" s="11"/>
      <c r="D6" s="16" t="s">
        <v>14</v>
      </c>
      <c r="F6" s="216" t="str">
        <f>'Rekapitulace stavby'!$K$6</f>
        <v>Zacharka - Oprava mostu přes potok Zacharka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R6" s="12"/>
    </row>
    <row r="7" spans="2:18" s="7" customFormat="1" ht="18.75" customHeight="1">
      <c r="B7" s="22"/>
      <c r="D7" s="15" t="s">
        <v>102</v>
      </c>
      <c r="F7" s="173" t="s">
        <v>196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R7" s="23"/>
    </row>
    <row r="8" spans="2:18" s="7" customFormat="1" ht="7.5" customHeight="1">
      <c r="B8" s="22"/>
      <c r="R8" s="23"/>
    </row>
    <row r="9" spans="2:18" s="7" customFormat="1" ht="15" customHeight="1">
      <c r="B9" s="22"/>
      <c r="D9" s="16" t="s">
        <v>18</v>
      </c>
      <c r="F9" s="17" t="s">
        <v>19</v>
      </c>
      <c r="M9" s="16" t="s">
        <v>20</v>
      </c>
      <c r="O9" s="223" t="str">
        <f>'Rekapitulace stavby'!$AN$8</f>
        <v>29.08.2013</v>
      </c>
      <c r="P9" s="159"/>
      <c r="R9" s="23"/>
    </row>
    <row r="10" spans="2:18" s="7" customFormat="1" ht="7.5" customHeight="1">
      <c r="B10" s="22"/>
      <c r="R10" s="23"/>
    </row>
    <row r="11" spans="2:18" s="7" customFormat="1" ht="15" customHeight="1">
      <c r="B11" s="22"/>
      <c r="D11" s="16" t="s">
        <v>24</v>
      </c>
      <c r="M11" s="16" t="s">
        <v>25</v>
      </c>
      <c r="O11" s="174">
        <f>IF('Rekapitulace stavby'!$AN$10="","",'Rekapitulace stavby'!$AN$10)</f>
      </c>
      <c r="P11" s="159"/>
      <c r="R11" s="23"/>
    </row>
    <row r="12" spans="2:18" s="7" customFormat="1" ht="18.75" customHeight="1">
      <c r="B12" s="22"/>
      <c r="E12" s="17" t="str">
        <f>IF('Rekapitulace stavby'!$E$11="","",'Rekapitulace stavby'!$E$11)</f>
        <v> </v>
      </c>
      <c r="M12" s="16" t="s">
        <v>26</v>
      </c>
      <c r="O12" s="174">
        <f>IF('Rekapitulace stavby'!$AN$11="","",'Rekapitulace stavby'!$AN$11)</f>
      </c>
      <c r="P12" s="159"/>
      <c r="R12" s="23"/>
    </row>
    <row r="13" spans="2:18" s="7" customFormat="1" ht="7.5" customHeight="1">
      <c r="B13" s="22"/>
      <c r="R13" s="23"/>
    </row>
    <row r="14" spans="2:18" s="7" customFormat="1" ht="15" customHeight="1">
      <c r="B14" s="22"/>
      <c r="D14" s="16" t="s">
        <v>27</v>
      </c>
      <c r="M14" s="16" t="s">
        <v>25</v>
      </c>
      <c r="O14" s="222" t="str">
        <f>IF('Rekapitulace stavby'!$AN$13="","",'Rekapitulace stavby'!$AN$13)</f>
        <v>Vyplň údaj</v>
      </c>
      <c r="P14" s="159"/>
      <c r="R14" s="23"/>
    </row>
    <row r="15" spans="2:18" s="7" customFormat="1" ht="18.75" customHeight="1">
      <c r="B15" s="22"/>
      <c r="E15" s="222" t="str">
        <f>IF('Rekapitulace stavby'!$E$14="","",'Rekapitulace stavby'!$E$14)</f>
        <v>Vyplň údaj</v>
      </c>
      <c r="F15" s="159"/>
      <c r="G15" s="159"/>
      <c r="H15" s="159"/>
      <c r="I15" s="159"/>
      <c r="J15" s="159"/>
      <c r="K15" s="159"/>
      <c r="L15" s="159"/>
      <c r="M15" s="16" t="s">
        <v>26</v>
      </c>
      <c r="O15" s="222" t="str">
        <f>IF('Rekapitulace stavby'!$AN$14="","",'Rekapitulace stavby'!$AN$14)</f>
        <v>Vyplň údaj</v>
      </c>
      <c r="P15" s="159"/>
      <c r="R15" s="23"/>
    </row>
    <row r="16" spans="2:18" s="7" customFormat="1" ht="7.5" customHeight="1">
      <c r="B16" s="22"/>
      <c r="R16" s="23"/>
    </row>
    <row r="17" spans="2:18" s="7" customFormat="1" ht="15" customHeight="1">
      <c r="B17" s="22"/>
      <c r="D17" s="16" t="s">
        <v>29</v>
      </c>
      <c r="M17" s="16" t="s">
        <v>25</v>
      </c>
      <c r="O17" s="174">
        <f>IF('Rekapitulace stavby'!$AN$16="","",'Rekapitulace stavby'!$AN$16)</f>
      </c>
      <c r="P17" s="159"/>
      <c r="R17" s="23"/>
    </row>
    <row r="18" spans="2:18" s="7" customFormat="1" ht="18.75" customHeight="1">
      <c r="B18" s="22"/>
      <c r="E18" s="17" t="str">
        <f>IF('Rekapitulace stavby'!$E$17="","",'Rekapitulace stavby'!$E$17)</f>
        <v> </v>
      </c>
      <c r="M18" s="16" t="s">
        <v>26</v>
      </c>
      <c r="O18" s="174">
        <f>IF('Rekapitulace stavby'!$AN$17="","",'Rekapitulace stavby'!$AN$17)</f>
      </c>
      <c r="P18" s="159"/>
      <c r="R18" s="23"/>
    </row>
    <row r="19" spans="2:18" s="7" customFormat="1" ht="7.5" customHeight="1">
      <c r="B19" s="22"/>
      <c r="R19" s="23"/>
    </row>
    <row r="20" spans="2:18" s="7" customFormat="1" ht="15" customHeight="1">
      <c r="B20" s="22"/>
      <c r="D20" s="16" t="s">
        <v>31</v>
      </c>
      <c r="M20" s="16" t="s">
        <v>25</v>
      </c>
      <c r="O20" s="174">
        <f>IF('Rekapitulace stavby'!$AN$19="","",'Rekapitulace stavby'!$AN$19)</f>
      </c>
      <c r="P20" s="159"/>
      <c r="R20" s="23"/>
    </row>
    <row r="21" spans="2:18" s="7" customFormat="1" ht="18.75" customHeight="1">
      <c r="B21" s="22"/>
      <c r="E21" s="17" t="str">
        <f>IF('Rekapitulace stavby'!$E$20="","",'Rekapitulace stavby'!$E$20)</f>
        <v> </v>
      </c>
      <c r="M21" s="16" t="s">
        <v>26</v>
      </c>
      <c r="O21" s="174">
        <f>IF('Rekapitulace stavby'!$AN$20="","",'Rekapitulace stavby'!$AN$20)</f>
      </c>
      <c r="P21" s="159"/>
      <c r="R21" s="23"/>
    </row>
    <row r="22" spans="2:18" s="7" customFormat="1" ht="7.5" customHeight="1">
      <c r="B22" s="22"/>
      <c r="R22" s="23"/>
    </row>
    <row r="23" spans="2:18" s="7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7" customFormat="1" ht="15" customHeight="1">
      <c r="B24" s="22"/>
      <c r="D24" s="91" t="s">
        <v>104</v>
      </c>
      <c r="M24" s="186">
        <f>$N$88</f>
        <v>0</v>
      </c>
      <c r="N24" s="159"/>
      <c r="O24" s="159"/>
      <c r="P24" s="159"/>
      <c r="R24" s="23"/>
    </row>
    <row r="25" spans="2:18" s="7" customFormat="1" ht="15" customHeight="1">
      <c r="B25" s="22"/>
      <c r="D25" s="21" t="s">
        <v>92</v>
      </c>
      <c r="M25" s="186">
        <f>$N$102</f>
        <v>0</v>
      </c>
      <c r="N25" s="159"/>
      <c r="O25" s="159"/>
      <c r="P25" s="159"/>
      <c r="R25" s="23"/>
    </row>
    <row r="26" spans="2:18" s="7" customFormat="1" ht="7.5" customHeight="1">
      <c r="B26" s="22"/>
      <c r="R26" s="23"/>
    </row>
    <row r="27" spans="2:18" s="7" customFormat="1" ht="26.25" customHeight="1">
      <c r="B27" s="22"/>
      <c r="D27" s="92" t="s">
        <v>34</v>
      </c>
      <c r="M27" s="221">
        <f>ROUNDUP($M$24+$M$25,2)</f>
        <v>0</v>
      </c>
      <c r="N27" s="159"/>
      <c r="O27" s="159"/>
      <c r="P27" s="159"/>
      <c r="R27" s="23"/>
    </row>
    <row r="28" spans="2:18" s="7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7" customFormat="1" ht="15" customHeight="1">
      <c r="B29" s="22"/>
      <c r="D29" s="27" t="s">
        <v>35</v>
      </c>
      <c r="E29" s="27" t="s">
        <v>36</v>
      </c>
      <c r="F29" s="28">
        <v>0.21</v>
      </c>
      <c r="G29" s="93" t="s">
        <v>37</v>
      </c>
      <c r="H29" s="220">
        <f>ROUNDUP((((SUM($BE$102:$BE$109)+SUM($BE$127:$BE$319))+SUM($BE$321:$BE$325))),2)</f>
        <v>0</v>
      </c>
      <c r="I29" s="159"/>
      <c r="J29" s="159"/>
      <c r="M29" s="220">
        <f>ROUNDUP((((SUM($BE$102:$BE$109)+SUM($BE$127:$BE$319))*$F$29)+SUM($BE$321:$BE$325)*$F$29),1)</f>
        <v>0</v>
      </c>
      <c r="N29" s="159"/>
      <c r="O29" s="159"/>
      <c r="P29" s="159"/>
      <c r="R29" s="23"/>
    </row>
    <row r="30" spans="2:18" s="7" customFormat="1" ht="15" customHeight="1">
      <c r="B30" s="22"/>
      <c r="E30" s="27" t="s">
        <v>38</v>
      </c>
      <c r="F30" s="28">
        <v>0.15</v>
      </c>
      <c r="G30" s="93" t="s">
        <v>37</v>
      </c>
      <c r="H30" s="220">
        <f>ROUNDUP((((SUM($BF$102:$BF$109)+SUM($BF$127:$BF$319))+SUM($BF$321:$BF$325))),2)</f>
        <v>0</v>
      </c>
      <c r="I30" s="159"/>
      <c r="J30" s="159"/>
      <c r="M30" s="220">
        <f>ROUNDUP((((SUM($BF$102:$BF$109)+SUM($BF$127:$BF$319))*$F$30)+SUM($BF$321:$BF$325)*$F$30),1)</f>
        <v>0</v>
      </c>
      <c r="N30" s="159"/>
      <c r="O30" s="159"/>
      <c r="P30" s="159"/>
      <c r="R30" s="23"/>
    </row>
    <row r="31" spans="2:18" s="7" customFormat="1" ht="15" customHeight="1" hidden="1">
      <c r="B31" s="22"/>
      <c r="E31" s="27" t="s">
        <v>39</v>
      </c>
      <c r="F31" s="28">
        <v>0.21</v>
      </c>
      <c r="G31" s="93" t="s">
        <v>37</v>
      </c>
      <c r="H31" s="220">
        <f>ROUNDUP((((SUM($BG$102:$BG$109)+SUM($BG$127:$BG$319))+SUM($BG$321:$BG$325))),2)</f>
        <v>0</v>
      </c>
      <c r="I31" s="159"/>
      <c r="J31" s="159"/>
      <c r="M31" s="220">
        <v>0</v>
      </c>
      <c r="N31" s="159"/>
      <c r="O31" s="159"/>
      <c r="P31" s="159"/>
      <c r="R31" s="23"/>
    </row>
    <row r="32" spans="2:18" s="7" customFormat="1" ht="15" customHeight="1" hidden="1">
      <c r="B32" s="22"/>
      <c r="E32" s="27" t="s">
        <v>40</v>
      </c>
      <c r="F32" s="28">
        <v>0.15</v>
      </c>
      <c r="G32" s="93" t="s">
        <v>37</v>
      </c>
      <c r="H32" s="220">
        <f>ROUNDUP((((SUM($BH$102:$BH$109)+SUM($BH$127:$BH$319))+SUM($BH$321:$BH$325))),2)</f>
        <v>0</v>
      </c>
      <c r="I32" s="159"/>
      <c r="J32" s="159"/>
      <c r="M32" s="220">
        <v>0</v>
      </c>
      <c r="N32" s="159"/>
      <c r="O32" s="159"/>
      <c r="P32" s="159"/>
      <c r="R32" s="23"/>
    </row>
    <row r="33" spans="2:18" s="7" customFormat="1" ht="15" customHeight="1" hidden="1">
      <c r="B33" s="22"/>
      <c r="E33" s="27" t="s">
        <v>41</v>
      </c>
      <c r="F33" s="28">
        <v>0</v>
      </c>
      <c r="G33" s="93" t="s">
        <v>37</v>
      </c>
      <c r="H33" s="220">
        <f>ROUNDUP((((SUM($BI$102:$BI$109)+SUM($BI$127:$BI$319))+SUM($BI$321:$BI$325))),2)</f>
        <v>0</v>
      </c>
      <c r="I33" s="159"/>
      <c r="J33" s="159"/>
      <c r="M33" s="220">
        <v>0</v>
      </c>
      <c r="N33" s="159"/>
      <c r="O33" s="159"/>
      <c r="P33" s="159"/>
      <c r="R33" s="23"/>
    </row>
    <row r="34" spans="2:18" s="7" customFormat="1" ht="7.5" customHeight="1">
      <c r="B34" s="22"/>
      <c r="R34" s="23"/>
    </row>
    <row r="35" spans="2:18" s="7" customFormat="1" ht="26.25" customHeight="1">
      <c r="B35" s="22"/>
      <c r="C35" s="31"/>
      <c r="D35" s="32" t="s">
        <v>42</v>
      </c>
      <c r="E35" s="33"/>
      <c r="F35" s="33"/>
      <c r="G35" s="94" t="s">
        <v>43</v>
      </c>
      <c r="H35" s="34" t="s">
        <v>44</v>
      </c>
      <c r="I35" s="33"/>
      <c r="J35" s="33"/>
      <c r="K35" s="33"/>
      <c r="L35" s="182">
        <f>ROUNDUP(SUM($M$27:$M$33),2)</f>
        <v>0</v>
      </c>
      <c r="M35" s="169"/>
      <c r="N35" s="169"/>
      <c r="O35" s="169"/>
      <c r="P35" s="171"/>
      <c r="Q35" s="31"/>
      <c r="R35" s="23"/>
    </row>
    <row r="36" spans="2:18" s="7" customFormat="1" ht="15" customHeight="1">
      <c r="B36" s="22"/>
      <c r="R36" s="23"/>
    </row>
    <row r="37" spans="2:18" s="7" customFormat="1" ht="15" customHeight="1">
      <c r="B37" s="22"/>
      <c r="R37" s="23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ht="14.25" customHeight="1">
      <c r="B49" s="11"/>
      <c r="R49" s="12"/>
    </row>
    <row r="50" spans="2:18" s="7" customFormat="1" ht="15.75" customHeight="1">
      <c r="B50" s="22"/>
      <c r="D50" s="35" t="s">
        <v>45</v>
      </c>
      <c r="E50" s="36"/>
      <c r="F50" s="36"/>
      <c r="G50" s="36"/>
      <c r="H50" s="37"/>
      <c r="J50" s="35" t="s">
        <v>46</v>
      </c>
      <c r="K50" s="36"/>
      <c r="L50" s="36"/>
      <c r="M50" s="36"/>
      <c r="N50" s="36"/>
      <c r="O50" s="36"/>
      <c r="P50" s="37"/>
      <c r="R50" s="23"/>
    </row>
    <row r="51" spans="2:18" ht="14.25" customHeight="1">
      <c r="B51" s="11"/>
      <c r="D51" s="38"/>
      <c r="H51" s="39"/>
      <c r="J51" s="38"/>
      <c r="P51" s="39"/>
      <c r="R51" s="12"/>
    </row>
    <row r="52" spans="2:18" ht="14.25" customHeight="1">
      <c r="B52" s="11"/>
      <c r="D52" s="38"/>
      <c r="H52" s="39"/>
      <c r="J52" s="38"/>
      <c r="P52" s="39"/>
      <c r="R52" s="12"/>
    </row>
    <row r="53" spans="2:18" ht="14.25" customHeight="1">
      <c r="B53" s="11"/>
      <c r="D53" s="38"/>
      <c r="H53" s="39"/>
      <c r="J53" s="38"/>
      <c r="P53" s="39"/>
      <c r="R53" s="12"/>
    </row>
    <row r="54" spans="2:18" ht="14.25" customHeight="1">
      <c r="B54" s="11"/>
      <c r="D54" s="38"/>
      <c r="H54" s="39"/>
      <c r="J54" s="38"/>
      <c r="P54" s="39"/>
      <c r="R54" s="12"/>
    </row>
    <row r="55" spans="2:18" ht="14.25" customHeight="1">
      <c r="B55" s="11"/>
      <c r="D55" s="38"/>
      <c r="H55" s="39"/>
      <c r="J55" s="38"/>
      <c r="P55" s="39"/>
      <c r="R55" s="12"/>
    </row>
    <row r="56" spans="2:18" ht="14.25" customHeight="1">
      <c r="B56" s="11"/>
      <c r="D56" s="38"/>
      <c r="H56" s="39"/>
      <c r="J56" s="38"/>
      <c r="P56" s="39"/>
      <c r="R56" s="12"/>
    </row>
    <row r="57" spans="2:18" ht="14.25" customHeight="1">
      <c r="B57" s="11"/>
      <c r="D57" s="38"/>
      <c r="H57" s="39"/>
      <c r="J57" s="38"/>
      <c r="P57" s="39"/>
      <c r="R57" s="12"/>
    </row>
    <row r="58" spans="2:18" ht="14.25" customHeight="1">
      <c r="B58" s="11"/>
      <c r="D58" s="38"/>
      <c r="H58" s="39"/>
      <c r="J58" s="38"/>
      <c r="P58" s="39"/>
      <c r="R58" s="12"/>
    </row>
    <row r="59" spans="2:18" s="7" customFormat="1" ht="15.75" customHeight="1">
      <c r="B59" s="22"/>
      <c r="D59" s="40" t="s">
        <v>47</v>
      </c>
      <c r="E59" s="41"/>
      <c r="F59" s="41"/>
      <c r="G59" s="42" t="s">
        <v>48</v>
      </c>
      <c r="H59" s="43"/>
      <c r="J59" s="40" t="s">
        <v>47</v>
      </c>
      <c r="K59" s="41"/>
      <c r="L59" s="41"/>
      <c r="M59" s="41"/>
      <c r="N59" s="42" t="s">
        <v>48</v>
      </c>
      <c r="O59" s="41"/>
      <c r="P59" s="43"/>
      <c r="R59" s="23"/>
    </row>
    <row r="60" spans="2:18" ht="14.25" customHeight="1">
      <c r="B60" s="11"/>
      <c r="R60" s="12"/>
    </row>
    <row r="61" spans="2:18" s="7" customFormat="1" ht="15.75" customHeight="1">
      <c r="B61" s="22"/>
      <c r="D61" s="35" t="s">
        <v>49</v>
      </c>
      <c r="E61" s="36"/>
      <c r="F61" s="36"/>
      <c r="G61" s="36"/>
      <c r="H61" s="37"/>
      <c r="J61" s="35" t="s">
        <v>50</v>
      </c>
      <c r="K61" s="36"/>
      <c r="L61" s="36"/>
      <c r="M61" s="36"/>
      <c r="N61" s="36"/>
      <c r="O61" s="36"/>
      <c r="P61" s="37"/>
      <c r="R61" s="23"/>
    </row>
    <row r="62" spans="2:18" ht="14.25" customHeight="1">
      <c r="B62" s="11"/>
      <c r="D62" s="38"/>
      <c r="H62" s="39"/>
      <c r="J62" s="38"/>
      <c r="P62" s="39"/>
      <c r="R62" s="12"/>
    </row>
    <row r="63" spans="2:18" ht="14.25" customHeight="1">
      <c r="B63" s="11"/>
      <c r="D63" s="38"/>
      <c r="H63" s="39"/>
      <c r="J63" s="38"/>
      <c r="P63" s="39"/>
      <c r="R63" s="12"/>
    </row>
    <row r="64" spans="2:18" ht="14.25" customHeight="1">
      <c r="B64" s="11"/>
      <c r="D64" s="38"/>
      <c r="H64" s="39"/>
      <c r="J64" s="38"/>
      <c r="P64" s="39"/>
      <c r="R64" s="12"/>
    </row>
    <row r="65" spans="2:18" ht="14.25" customHeight="1">
      <c r="B65" s="11"/>
      <c r="D65" s="38"/>
      <c r="H65" s="39"/>
      <c r="J65" s="38"/>
      <c r="P65" s="39"/>
      <c r="R65" s="12"/>
    </row>
    <row r="66" spans="2:18" ht="14.25" customHeight="1">
      <c r="B66" s="11"/>
      <c r="D66" s="38"/>
      <c r="H66" s="39"/>
      <c r="J66" s="38"/>
      <c r="P66" s="39"/>
      <c r="R66" s="12"/>
    </row>
    <row r="67" spans="2:18" ht="14.25" customHeight="1">
      <c r="B67" s="11"/>
      <c r="D67" s="38"/>
      <c r="H67" s="39"/>
      <c r="J67" s="38"/>
      <c r="P67" s="39"/>
      <c r="R67" s="12"/>
    </row>
    <row r="68" spans="2:18" ht="14.25" customHeight="1">
      <c r="B68" s="11"/>
      <c r="D68" s="38"/>
      <c r="H68" s="39"/>
      <c r="J68" s="38"/>
      <c r="P68" s="39"/>
      <c r="R68" s="12"/>
    </row>
    <row r="69" spans="2:18" ht="14.25" customHeight="1">
      <c r="B69" s="11"/>
      <c r="D69" s="38"/>
      <c r="H69" s="39"/>
      <c r="J69" s="38"/>
      <c r="P69" s="39"/>
      <c r="R69" s="12"/>
    </row>
    <row r="70" spans="2:18" s="7" customFormat="1" ht="15.75" customHeight="1">
      <c r="B70" s="22"/>
      <c r="D70" s="40" t="s">
        <v>47</v>
      </c>
      <c r="E70" s="41"/>
      <c r="F70" s="41"/>
      <c r="G70" s="42" t="s">
        <v>48</v>
      </c>
      <c r="H70" s="43"/>
      <c r="J70" s="40" t="s">
        <v>47</v>
      </c>
      <c r="K70" s="41"/>
      <c r="L70" s="41"/>
      <c r="M70" s="41"/>
      <c r="N70" s="42" t="s">
        <v>48</v>
      </c>
      <c r="O70" s="41"/>
      <c r="P70" s="43"/>
      <c r="R70" s="23"/>
    </row>
    <row r="71" spans="2:18" s="7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7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7" customFormat="1" ht="37.5" customHeight="1">
      <c r="B76" s="22"/>
      <c r="C76" s="172" t="s">
        <v>105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23"/>
    </row>
    <row r="77" spans="2:18" s="7" customFormat="1" ht="7.5" customHeight="1">
      <c r="B77" s="22"/>
      <c r="R77" s="23"/>
    </row>
    <row r="78" spans="2:18" s="7" customFormat="1" ht="15" customHeight="1">
      <c r="B78" s="22"/>
      <c r="C78" s="16" t="s">
        <v>14</v>
      </c>
      <c r="F78" s="216" t="str">
        <f>$F$6</f>
        <v>Zacharka - Oprava mostu přes potok Zacharka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R78" s="23"/>
    </row>
    <row r="79" spans="2:18" s="7" customFormat="1" ht="15" customHeight="1">
      <c r="B79" s="22"/>
      <c r="C79" s="15" t="s">
        <v>102</v>
      </c>
      <c r="F79" s="173" t="str">
        <f>$F$7</f>
        <v>SO 102 - most ev.č. 01-48-c-M03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R79" s="23"/>
    </row>
    <row r="80" spans="2:18" s="7" customFormat="1" ht="7.5" customHeight="1">
      <c r="B80" s="22"/>
      <c r="R80" s="23"/>
    </row>
    <row r="81" spans="2:18" s="7" customFormat="1" ht="18.75" customHeight="1">
      <c r="B81" s="22"/>
      <c r="C81" s="16" t="s">
        <v>18</v>
      </c>
      <c r="F81" s="17" t="str">
        <f>$F$9</f>
        <v> </v>
      </c>
      <c r="K81" s="16" t="s">
        <v>20</v>
      </c>
      <c r="M81" s="215" t="str">
        <f>IF($O$9="","",$O$9)</f>
        <v>29.08.2013</v>
      </c>
      <c r="N81" s="159"/>
      <c r="O81" s="159"/>
      <c r="P81" s="159"/>
      <c r="R81" s="23"/>
    </row>
    <row r="82" spans="2:18" s="7" customFormat="1" ht="7.5" customHeight="1">
      <c r="B82" s="22"/>
      <c r="R82" s="23"/>
    </row>
    <row r="83" spans="2:18" s="7" customFormat="1" ht="15.75" customHeight="1">
      <c r="B83" s="22"/>
      <c r="C83" s="16" t="s">
        <v>24</v>
      </c>
      <c r="F83" s="17" t="str">
        <f>$E$12</f>
        <v> </v>
      </c>
      <c r="K83" s="16" t="s">
        <v>29</v>
      </c>
      <c r="M83" s="174" t="str">
        <f>$E$18</f>
        <v> </v>
      </c>
      <c r="N83" s="159"/>
      <c r="O83" s="159"/>
      <c r="P83" s="159"/>
      <c r="Q83" s="159"/>
      <c r="R83" s="23"/>
    </row>
    <row r="84" spans="2:18" s="7" customFormat="1" ht="15" customHeight="1">
      <c r="B84" s="22"/>
      <c r="C84" s="16" t="s">
        <v>27</v>
      </c>
      <c r="F84" s="17" t="str">
        <f>IF($E$15="","",$E$15)</f>
        <v>Vyplň údaj</v>
      </c>
      <c r="K84" s="16" t="s">
        <v>31</v>
      </c>
      <c r="M84" s="174" t="str">
        <f>$E$21</f>
        <v> </v>
      </c>
      <c r="N84" s="159"/>
      <c r="O84" s="159"/>
      <c r="P84" s="159"/>
      <c r="Q84" s="159"/>
      <c r="R84" s="23"/>
    </row>
    <row r="85" spans="2:18" s="7" customFormat="1" ht="11.25" customHeight="1">
      <c r="B85" s="22"/>
      <c r="R85" s="23"/>
    </row>
    <row r="86" spans="2:18" s="7" customFormat="1" ht="30" customHeight="1">
      <c r="B86" s="22"/>
      <c r="C86" s="219" t="s">
        <v>106</v>
      </c>
      <c r="D86" s="155"/>
      <c r="E86" s="155"/>
      <c r="F86" s="155"/>
      <c r="G86" s="155"/>
      <c r="H86" s="31"/>
      <c r="I86" s="31"/>
      <c r="J86" s="31"/>
      <c r="K86" s="31"/>
      <c r="L86" s="31"/>
      <c r="M86" s="31"/>
      <c r="N86" s="219" t="s">
        <v>107</v>
      </c>
      <c r="O86" s="159"/>
      <c r="P86" s="159"/>
      <c r="Q86" s="159"/>
      <c r="R86" s="23"/>
    </row>
    <row r="87" spans="2:18" s="7" customFormat="1" ht="11.25" customHeight="1">
      <c r="B87" s="22"/>
      <c r="R87" s="23"/>
    </row>
    <row r="88" spans="2:47" s="7" customFormat="1" ht="30" customHeight="1">
      <c r="B88" s="22"/>
      <c r="C88" s="61" t="s">
        <v>108</v>
      </c>
      <c r="N88" s="162">
        <f>ROUNDUP($N$127,2)</f>
        <v>0</v>
      </c>
      <c r="O88" s="159"/>
      <c r="P88" s="159"/>
      <c r="Q88" s="159"/>
      <c r="R88" s="23"/>
      <c r="AU88" s="7" t="s">
        <v>109</v>
      </c>
    </row>
    <row r="89" spans="2:18" s="66" customFormat="1" ht="25.5" customHeight="1">
      <c r="B89" s="95"/>
      <c r="D89" s="96" t="s">
        <v>110</v>
      </c>
      <c r="N89" s="218">
        <f>ROUNDUP($N$128,2)</f>
        <v>0</v>
      </c>
      <c r="O89" s="217"/>
      <c r="P89" s="217"/>
      <c r="Q89" s="217"/>
      <c r="R89" s="97"/>
    </row>
    <row r="90" spans="2:18" s="91" customFormat="1" ht="21" customHeight="1">
      <c r="B90" s="98"/>
      <c r="D90" s="79" t="s">
        <v>197</v>
      </c>
      <c r="N90" s="161">
        <f>ROUNDUP($N$129,2)</f>
        <v>0</v>
      </c>
      <c r="O90" s="217"/>
      <c r="P90" s="217"/>
      <c r="Q90" s="217"/>
      <c r="R90" s="99"/>
    </row>
    <row r="91" spans="2:18" s="91" customFormat="1" ht="21" customHeight="1">
      <c r="B91" s="98"/>
      <c r="D91" s="79" t="s">
        <v>198</v>
      </c>
      <c r="N91" s="161">
        <f>ROUNDUP($N$166,2)</f>
        <v>0</v>
      </c>
      <c r="O91" s="217"/>
      <c r="P91" s="217"/>
      <c r="Q91" s="217"/>
      <c r="R91" s="99"/>
    </row>
    <row r="92" spans="2:18" s="91" customFormat="1" ht="21" customHeight="1">
      <c r="B92" s="98"/>
      <c r="D92" s="79" t="s">
        <v>199</v>
      </c>
      <c r="N92" s="161">
        <f>ROUNDUP($N$172,2)</f>
        <v>0</v>
      </c>
      <c r="O92" s="217"/>
      <c r="P92" s="217"/>
      <c r="Q92" s="217"/>
      <c r="R92" s="99"/>
    </row>
    <row r="93" spans="2:18" s="91" customFormat="1" ht="21" customHeight="1">
      <c r="B93" s="98"/>
      <c r="D93" s="79" t="s">
        <v>200</v>
      </c>
      <c r="N93" s="161">
        <f>ROUNDUP($N$197,2)</f>
        <v>0</v>
      </c>
      <c r="O93" s="217"/>
      <c r="P93" s="217"/>
      <c r="Q93" s="217"/>
      <c r="R93" s="99"/>
    </row>
    <row r="94" spans="2:18" s="91" customFormat="1" ht="21" customHeight="1">
      <c r="B94" s="98"/>
      <c r="D94" s="79" t="s">
        <v>201</v>
      </c>
      <c r="N94" s="161">
        <f>ROUNDUP($N$221,2)</f>
        <v>0</v>
      </c>
      <c r="O94" s="217"/>
      <c r="P94" s="217"/>
      <c r="Q94" s="217"/>
      <c r="R94" s="99"/>
    </row>
    <row r="95" spans="2:18" s="91" customFormat="1" ht="21" customHeight="1">
      <c r="B95" s="98"/>
      <c r="D95" s="79" t="s">
        <v>202</v>
      </c>
      <c r="N95" s="161">
        <f>ROUNDUP($N$240,2)</f>
        <v>0</v>
      </c>
      <c r="O95" s="217"/>
      <c r="P95" s="217"/>
      <c r="Q95" s="217"/>
      <c r="R95" s="99"/>
    </row>
    <row r="96" spans="2:18" s="91" customFormat="1" ht="21" customHeight="1">
      <c r="B96" s="98"/>
      <c r="D96" s="79" t="s">
        <v>111</v>
      </c>
      <c r="N96" s="161">
        <f>ROUNDUP($N$247,2)</f>
        <v>0</v>
      </c>
      <c r="O96" s="217"/>
      <c r="P96" s="217"/>
      <c r="Q96" s="217"/>
      <c r="R96" s="99"/>
    </row>
    <row r="97" spans="2:18" s="91" customFormat="1" ht="15.75" customHeight="1">
      <c r="B97" s="98"/>
      <c r="D97" s="79" t="s">
        <v>203</v>
      </c>
      <c r="N97" s="161">
        <f>ROUNDUP($N$285,2)</f>
        <v>0</v>
      </c>
      <c r="O97" s="217"/>
      <c r="P97" s="217"/>
      <c r="Q97" s="217"/>
      <c r="R97" s="99"/>
    </row>
    <row r="98" spans="2:18" s="66" customFormat="1" ht="25.5" customHeight="1">
      <c r="B98" s="95"/>
      <c r="D98" s="96" t="s">
        <v>204</v>
      </c>
      <c r="N98" s="218">
        <f>ROUNDUP($N$296,2)</f>
        <v>0</v>
      </c>
      <c r="O98" s="217"/>
      <c r="P98" s="217"/>
      <c r="Q98" s="217"/>
      <c r="R98" s="97"/>
    </row>
    <row r="99" spans="2:18" s="91" customFormat="1" ht="21" customHeight="1">
      <c r="B99" s="98"/>
      <c r="D99" s="79" t="s">
        <v>205</v>
      </c>
      <c r="N99" s="161">
        <f>ROUNDUP($N$297,2)</f>
        <v>0</v>
      </c>
      <c r="O99" s="217"/>
      <c r="P99" s="217"/>
      <c r="Q99" s="217"/>
      <c r="R99" s="99"/>
    </row>
    <row r="100" spans="2:18" s="66" customFormat="1" ht="22.5" customHeight="1">
      <c r="B100" s="95"/>
      <c r="D100" s="96" t="s">
        <v>114</v>
      </c>
      <c r="N100" s="195">
        <f>$N$320</f>
        <v>0</v>
      </c>
      <c r="O100" s="217"/>
      <c r="P100" s="217"/>
      <c r="Q100" s="217"/>
      <c r="R100" s="97"/>
    </row>
    <row r="101" spans="2:18" s="7" customFormat="1" ht="22.5" customHeight="1">
      <c r="B101" s="22"/>
      <c r="R101" s="23"/>
    </row>
    <row r="102" spans="2:21" s="7" customFormat="1" ht="30" customHeight="1">
      <c r="B102" s="22"/>
      <c r="C102" s="61" t="s">
        <v>115</v>
      </c>
      <c r="N102" s="162">
        <f>ROUNDUP($N$103+$N$104+$N$105+$N$106+$N$107+$N$108,2)</f>
        <v>0</v>
      </c>
      <c r="O102" s="159"/>
      <c r="P102" s="159"/>
      <c r="Q102" s="159"/>
      <c r="R102" s="23"/>
      <c r="T102" s="100"/>
      <c r="U102" s="101" t="s">
        <v>35</v>
      </c>
    </row>
    <row r="103" spans="2:62" s="7" customFormat="1" ht="18.75" customHeight="1">
      <c r="B103" s="22"/>
      <c r="D103" s="158" t="s">
        <v>116</v>
      </c>
      <c r="E103" s="159"/>
      <c r="F103" s="159"/>
      <c r="G103" s="159"/>
      <c r="H103" s="159"/>
      <c r="M103" s="153">
        <v>0.03</v>
      </c>
      <c r="N103" s="160">
        <f>N88*0.03</f>
        <v>0</v>
      </c>
      <c r="O103" s="159"/>
      <c r="P103" s="159"/>
      <c r="Q103" s="159"/>
      <c r="R103" s="23"/>
      <c r="T103" s="102"/>
      <c r="U103" s="103" t="s">
        <v>36</v>
      </c>
      <c r="AY103" s="7" t="s">
        <v>117</v>
      </c>
      <c r="BE103" s="83">
        <f>IF($U$103="základní",$N$103,0)</f>
        <v>0</v>
      </c>
      <c r="BF103" s="83">
        <f>IF($U$103="snížená",$N$103,0)</f>
        <v>0</v>
      </c>
      <c r="BG103" s="83">
        <f>IF($U$103="zákl. přenesená",$N$103,0)</f>
        <v>0</v>
      </c>
      <c r="BH103" s="83">
        <f>IF($U$103="sníž. přenesená",$N$103,0)</f>
        <v>0</v>
      </c>
      <c r="BI103" s="83">
        <f>IF($U$103="nulová",$N$103,0)</f>
        <v>0</v>
      </c>
      <c r="BJ103" s="7" t="s">
        <v>17</v>
      </c>
    </row>
    <row r="104" spans="2:62" s="7" customFormat="1" ht="18.75" customHeight="1">
      <c r="B104" s="22"/>
      <c r="D104" s="158" t="s">
        <v>118</v>
      </c>
      <c r="E104" s="159"/>
      <c r="F104" s="159"/>
      <c r="G104" s="159"/>
      <c r="H104" s="159"/>
      <c r="N104" s="160">
        <f>ROUNDUP($N$88*$T$104,2)</f>
        <v>0</v>
      </c>
      <c r="O104" s="159"/>
      <c r="P104" s="159"/>
      <c r="Q104" s="159"/>
      <c r="R104" s="23"/>
      <c r="T104" s="102"/>
      <c r="U104" s="103" t="s">
        <v>36</v>
      </c>
      <c r="AY104" s="7" t="s">
        <v>117</v>
      </c>
      <c r="BE104" s="83">
        <f>IF($U$104="základní",$N$104,0)</f>
        <v>0</v>
      </c>
      <c r="BF104" s="83">
        <f>IF($U$104="snížená",$N$104,0)</f>
        <v>0</v>
      </c>
      <c r="BG104" s="83">
        <f>IF($U$104="zákl. přenesená",$N$104,0)</f>
        <v>0</v>
      </c>
      <c r="BH104" s="83">
        <f>IF($U$104="sníž. přenesená",$N$104,0)</f>
        <v>0</v>
      </c>
      <c r="BI104" s="83">
        <f>IF($U$104="nulová",$N$104,0)</f>
        <v>0</v>
      </c>
      <c r="BJ104" s="7" t="s">
        <v>17</v>
      </c>
    </row>
    <row r="105" spans="2:62" s="7" customFormat="1" ht="18.75" customHeight="1">
      <c r="B105" s="22"/>
      <c r="D105" s="158" t="s">
        <v>119</v>
      </c>
      <c r="E105" s="159"/>
      <c r="F105" s="159"/>
      <c r="G105" s="159"/>
      <c r="H105" s="159"/>
      <c r="N105" s="160">
        <f>ROUNDUP($N$88*$T$105,2)</f>
        <v>0</v>
      </c>
      <c r="O105" s="159"/>
      <c r="P105" s="159"/>
      <c r="Q105" s="159"/>
      <c r="R105" s="23"/>
      <c r="T105" s="102"/>
      <c r="U105" s="103" t="s">
        <v>36</v>
      </c>
      <c r="AY105" s="7" t="s">
        <v>117</v>
      </c>
      <c r="BE105" s="83">
        <f>IF($U$105="základní",$N$105,0)</f>
        <v>0</v>
      </c>
      <c r="BF105" s="83">
        <f>IF($U$105="snížená",$N$105,0)</f>
        <v>0</v>
      </c>
      <c r="BG105" s="83">
        <f>IF($U$105="zákl. přenesená",$N$105,0)</f>
        <v>0</v>
      </c>
      <c r="BH105" s="83">
        <f>IF($U$105="sníž. přenesená",$N$105,0)</f>
        <v>0</v>
      </c>
      <c r="BI105" s="83">
        <f>IF($U$105="nulová",$N$105,0)</f>
        <v>0</v>
      </c>
      <c r="BJ105" s="7" t="s">
        <v>17</v>
      </c>
    </row>
    <row r="106" spans="2:62" s="7" customFormat="1" ht="18.75" customHeight="1">
      <c r="B106" s="22"/>
      <c r="D106" s="158" t="s">
        <v>120</v>
      </c>
      <c r="E106" s="159"/>
      <c r="F106" s="159"/>
      <c r="G106" s="159"/>
      <c r="H106" s="159"/>
      <c r="M106" s="153">
        <v>0.01</v>
      </c>
      <c r="N106" s="160">
        <f>N88*0.01</f>
        <v>0</v>
      </c>
      <c r="O106" s="159"/>
      <c r="P106" s="159"/>
      <c r="Q106" s="159"/>
      <c r="R106" s="23"/>
      <c r="T106" s="102"/>
      <c r="U106" s="103" t="s">
        <v>36</v>
      </c>
      <c r="AY106" s="7" t="s">
        <v>117</v>
      </c>
      <c r="BE106" s="83">
        <f>IF($U$106="základní",$N$106,0)</f>
        <v>0</v>
      </c>
      <c r="BF106" s="83">
        <f>IF($U$106="snížená",$N$106,0)</f>
        <v>0</v>
      </c>
      <c r="BG106" s="83">
        <f>IF($U$106="zákl. přenesená",$N$106,0)</f>
        <v>0</v>
      </c>
      <c r="BH106" s="83">
        <f>IF($U$106="sníž. přenesená",$N$106,0)</f>
        <v>0</v>
      </c>
      <c r="BI106" s="83">
        <f>IF($U$106="nulová",$N$106,0)</f>
        <v>0</v>
      </c>
      <c r="BJ106" s="7" t="s">
        <v>17</v>
      </c>
    </row>
    <row r="107" spans="2:62" s="7" customFormat="1" ht="18.75" customHeight="1">
      <c r="B107" s="22"/>
      <c r="D107" s="158" t="s">
        <v>121</v>
      </c>
      <c r="E107" s="159"/>
      <c r="F107" s="159"/>
      <c r="G107" s="159"/>
      <c r="H107" s="159"/>
      <c r="N107" s="160">
        <v>0</v>
      </c>
      <c r="O107" s="159"/>
      <c r="P107" s="159"/>
      <c r="Q107" s="159"/>
      <c r="R107" s="23"/>
      <c r="T107" s="102"/>
      <c r="U107" s="103" t="s">
        <v>36</v>
      </c>
      <c r="AY107" s="7" t="s">
        <v>117</v>
      </c>
      <c r="BE107" s="83">
        <f>IF($U$107="základní",$N$107,0)</f>
        <v>0</v>
      </c>
      <c r="BF107" s="83">
        <f>IF($U$107="snížená",$N$107,0)</f>
        <v>0</v>
      </c>
      <c r="BG107" s="83">
        <f>IF($U$107="zákl. přenesená",$N$107,0)</f>
        <v>0</v>
      </c>
      <c r="BH107" s="83">
        <f>IF($U$107="sníž. přenesená",$N$107,0)</f>
        <v>0</v>
      </c>
      <c r="BI107" s="83">
        <f>IF($U$107="nulová",$N$107,0)</f>
        <v>0</v>
      </c>
      <c r="BJ107" s="7" t="s">
        <v>17</v>
      </c>
    </row>
    <row r="108" spans="2:62" s="7" customFormat="1" ht="18.75" customHeight="1">
      <c r="B108" s="22"/>
      <c r="D108" s="79" t="s">
        <v>122</v>
      </c>
      <c r="N108" s="160">
        <f>ROUNDUP($N$88*$T$108,2)</f>
        <v>0</v>
      </c>
      <c r="O108" s="159"/>
      <c r="P108" s="159"/>
      <c r="Q108" s="159"/>
      <c r="R108" s="23"/>
      <c r="T108" s="104"/>
      <c r="U108" s="105" t="s">
        <v>36</v>
      </c>
      <c r="AY108" s="7" t="s">
        <v>123</v>
      </c>
      <c r="BE108" s="83">
        <f>IF($U$108="základní",$N$108,0)</f>
        <v>0</v>
      </c>
      <c r="BF108" s="83">
        <f>IF($U$108="snížená",$N$108,0)</f>
        <v>0</v>
      </c>
      <c r="BG108" s="83">
        <f>IF($U$108="zákl. přenesená",$N$108,0)</f>
        <v>0</v>
      </c>
      <c r="BH108" s="83">
        <f>IF($U$108="sníž. přenesená",$N$108,0)</f>
        <v>0</v>
      </c>
      <c r="BI108" s="83">
        <f>IF($U$108="nulová",$N$108,0)</f>
        <v>0</v>
      </c>
      <c r="BJ108" s="7" t="s">
        <v>17</v>
      </c>
    </row>
    <row r="109" spans="2:18" s="7" customFormat="1" ht="14.25" customHeight="1">
      <c r="B109" s="22"/>
      <c r="R109" s="23"/>
    </row>
    <row r="110" spans="2:18" s="7" customFormat="1" ht="30" customHeight="1">
      <c r="B110" s="22"/>
      <c r="C110" s="90" t="s">
        <v>98</v>
      </c>
      <c r="D110" s="31"/>
      <c r="E110" s="31"/>
      <c r="F110" s="31"/>
      <c r="G110" s="31"/>
      <c r="H110" s="31"/>
      <c r="I110" s="31"/>
      <c r="J110" s="31"/>
      <c r="K110" s="31"/>
      <c r="L110" s="154">
        <f>ROUNDUP(SUM($N$88+$N$102),2)</f>
        <v>0</v>
      </c>
      <c r="M110" s="155"/>
      <c r="N110" s="155"/>
      <c r="O110" s="155"/>
      <c r="P110" s="155"/>
      <c r="Q110" s="155"/>
      <c r="R110" s="23"/>
    </row>
    <row r="111" spans="2:18" s="7" customFormat="1" ht="7.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5" spans="2:18" s="7" customFormat="1" ht="7.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7" customFormat="1" ht="37.5" customHeight="1">
      <c r="B116" s="22"/>
      <c r="C116" s="172" t="s">
        <v>124</v>
      </c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23"/>
    </row>
    <row r="117" spans="2:18" s="7" customFormat="1" ht="7.5" customHeight="1">
      <c r="B117" s="22"/>
      <c r="R117" s="23"/>
    </row>
    <row r="118" spans="2:18" s="7" customFormat="1" ht="15" customHeight="1">
      <c r="B118" s="22"/>
      <c r="C118" s="16" t="s">
        <v>14</v>
      </c>
      <c r="F118" s="216" t="str">
        <f>$F$6</f>
        <v>Zacharka - Oprava mostu přes potok Zacharka</v>
      </c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R118" s="23"/>
    </row>
    <row r="119" spans="2:18" s="7" customFormat="1" ht="15" customHeight="1">
      <c r="B119" s="22"/>
      <c r="C119" s="15" t="s">
        <v>102</v>
      </c>
      <c r="F119" s="173" t="str">
        <f>$F$7</f>
        <v>SO 102 - most ev.č. 01-48-c-M03</v>
      </c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R119" s="23"/>
    </row>
    <row r="120" spans="2:18" s="7" customFormat="1" ht="7.5" customHeight="1">
      <c r="B120" s="22"/>
      <c r="R120" s="23"/>
    </row>
    <row r="121" spans="2:18" s="7" customFormat="1" ht="18.75" customHeight="1">
      <c r="B121" s="22"/>
      <c r="C121" s="16" t="s">
        <v>18</v>
      </c>
      <c r="F121" s="17" t="str">
        <f>$F$9</f>
        <v> </v>
      </c>
      <c r="K121" s="16" t="s">
        <v>20</v>
      </c>
      <c r="M121" s="215" t="str">
        <f>IF($O$9="","",$O$9)</f>
        <v>29.08.2013</v>
      </c>
      <c r="N121" s="159"/>
      <c r="O121" s="159"/>
      <c r="P121" s="159"/>
      <c r="R121" s="23"/>
    </row>
    <row r="122" spans="2:18" s="7" customFormat="1" ht="7.5" customHeight="1">
      <c r="B122" s="22"/>
      <c r="R122" s="23"/>
    </row>
    <row r="123" spans="2:18" s="7" customFormat="1" ht="15.75" customHeight="1">
      <c r="B123" s="22"/>
      <c r="C123" s="16" t="s">
        <v>24</v>
      </c>
      <c r="F123" s="17" t="str">
        <f>$E$12</f>
        <v> </v>
      </c>
      <c r="K123" s="16" t="s">
        <v>29</v>
      </c>
      <c r="M123" s="174" t="str">
        <f>$E$18</f>
        <v> </v>
      </c>
      <c r="N123" s="159"/>
      <c r="O123" s="159"/>
      <c r="P123" s="159"/>
      <c r="Q123" s="159"/>
      <c r="R123" s="23"/>
    </row>
    <row r="124" spans="2:18" s="7" customFormat="1" ht="15" customHeight="1">
      <c r="B124" s="22"/>
      <c r="C124" s="16" t="s">
        <v>27</v>
      </c>
      <c r="F124" s="17" t="str">
        <f>IF($E$15="","",$E$15)</f>
        <v>Vyplň údaj</v>
      </c>
      <c r="K124" s="16" t="s">
        <v>31</v>
      </c>
      <c r="M124" s="174" t="str">
        <f>$E$21</f>
        <v> </v>
      </c>
      <c r="N124" s="159"/>
      <c r="O124" s="159"/>
      <c r="P124" s="159"/>
      <c r="Q124" s="159"/>
      <c r="R124" s="23"/>
    </row>
    <row r="125" spans="2:18" s="7" customFormat="1" ht="11.25" customHeight="1">
      <c r="B125" s="22"/>
      <c r="R125" s="23"/>
    </row>
    <row r="126" spans="2:27" s="106" customFormat="1" ht="30" customHeight="1">
      <c r="B126" s="107"/>
      <c r="C126" s="108" t="s">
        <v>125</v>
      </c>
      <c r="D126" s="109" t="s">
        <v>126</v>
      </c>
      <c r="E126" s="109" t="s">
        <v>53</v>
      </c>
      <c r="F126" s="212" t="s">
        <v>127</v>
      </c>
      <c r="G126" s="213"/>
      <c r="H126" s="213"/>
      <c r="I126" s="213"/>
      <c r="J126" s="109" t="s">
        <v>128</v>
      </c>
      <c r="K126" s="109" t="s">
        <v>129</v>
      </c>
      <c r="L126" s="212" t="s">
        <v>130</v>
      </c>
      <c r="M126" s="213"/>
      <c r="N126" s="212" t="s">
        <v>131</v>
      </c>
      <c r="O126" s="213"/>
      <c r="P126" s="213"/>
      <c r="Q126" s="214"/>
      <c r="R126" s="110"/>
      <c r="T126" s="56" t="s">
        <v>132</v>
      </c>
      <c r="U126" s="57" t="s">
        <v>35</v>
      </c>
      <c r="V126" s="57" t="s">
        <v>133</v>
      </c>
      <c r="W126" s="57" t="s">
        <v>134</v>
      </c>
      <c r="X126" s="57" t="s">
        <v>135</v>
      </c>
      <c r="Y126" s="57" t="s">
        <v>136</v>
      </c>
      <c r="Z126" s="57" t="s">
        <v>137</v>
      </c>
      <c r="AA126" s="58" t="s">
        <v>138</v>
      </c>
    </row>
    <row r="127" spans="2:63" s="7" customFormat="1" ht="30" customHeight="1">
      <c r="B127" s="22"/>
      <c r="C127" s="61" t="s">
        <v>104</v>
      </c>
      <c r="N127" s="194">
        <f>$BK$127</f>
        <v>0</v>
      </c>
      <c r="O127" s="159"/>
      <c r="P127" s="159"/>
      <c r="Q127" s="159"/>
      <c r="R127" s="23"/>
      <c r="T127" s="60"/>
      <c r="U127" s="36"/>
      <c r="V127" s="36"/>
      <c r="W127" s="111">
        <f>$W$128+$W$296+$W$320</f>
        <v>1415.435363</v>
      </c>
      <c r="X127" s="36"/>
      <c r="Y127" s="111">
        <f>$Y$128+$Y$296+$Y$320</f>
        <v>85.50706943</v>
      </c>
      <c r="Z127" s="36"/>
      <c r="AA127" s="112">
        <f>$AA$128+$AA$296+$AA$320</f>
        <v>112.905556</v>
      </c>
      <c r="AT127" s="7" t="s">
        <v>70</v>
      </c>
      <c r="AU127" s="7" t="s">
        <v>109</v>
      </c>
      <c r="BK127" s="113">
        <f>$BK$128+$BK$296+$BK$320</f>
        <v>0</v>
      </c>
    </row>
    <row r="128" spans="2:63" s="114" customFormat="1" ht="37.5" customHeight="1">
      <c r="B128" s="115"/>
      <c r="D128" s="116" t="s">
        <v>110</v>
      </c>
      <c r="N128" s="195">
        <f>$BK$128</f>
        <v>0</v>
      </c>
      <c r="O128" s="196"/>
      <c r="P128" s="196"/>
      <c r="Q128" s="196"/>
      <c r="R128" s="118"/>
      <c r="T128" s="119"/>
      <c r="W128" s="120">
        <f>$W$129+$W$166+$W$172+$W$197+$W$221+$W$240+$W$247</f>
        <v>1377.096274</v>
      </c>
      <c r="Y128" s="120">
        <f>$Y$129+$Y$166+$Y$172+$Y$197+$Y$221+$Y$240+$Y$247</f>
        <v>84.17976783</v>
      </c>
      <c r="AA128" s="121">
        <f>$AA$129+$AA$166+$AA$172+$AA$197+$AA$221+$AA$240+$AA$247</f>
        <v>112.905556</v>
      </c>
      <c r="AR128" s="117" t="s">
        <v>17</v>
      </c>
      <c r="AT128" s="117" t="s">
        <v>70</v>
      </c>
      <c r="AU128" s="117" t="s">
        <v>71</v>
      </c>
      <c r="AY128" s="117" t="s">
        <v>139</v>
      </c>
      <c r="BK128" s="122">
        <f>$BK$129+$BK$166+$BK$172+$BK$197+$BK$221+$BK$240+$BK$247</f>
        <v>0</v>
      </c>
    </row>
    <row r="129" spans="2:63" s="114" customFormat="1" ht="21" customHeight="1">
      <c r="B129" s="115"/>
      <c r="D129" s="123" t="s">
        <v>197</v>
      </c>
      <c r="N129" s="197">
        <f>$BK$129</f>
        <v>0</v>
      </c>
      <c r="O129" s="196"/>
      <c r="P129" s="196"/>
      <c r="Q129" s="196"/>
      <c r="R129" s="118"/>
      <c r="T129" s="119"/>
      <c r="W129" s="120">
        <f>SUM($W$130:$W$165)</f>
        <v>169.015114</v>
      </c>
      <c r="Y129" s="120">
        <f>SUM($Y$130:$Y$165)</f>
        <v>5.33435</v>
      </c>
      <c r="AA129" s="121">
        <f>SUM($AA$130:$AA$165)</f>
        <v>51.6976</v>
      </c>
      <c r="AR129" s="117" t="s">
        <v>17</v>
      </c>
      <c r="AT129" s="117" t="s">
        <v>70</v>
      </c>
      <c r="AU129" s="117" t="s">
        <v>17</v>
      </c>
      <c r="AY129" s="117" t="s">
        <v>139</v>
      </c>
      <c r="BK129" s="122">
        <f>SUM($BK$130:$BK$165)</f>
        <v>0</v>
      </c>
    </row>
    <row r="130" spans="2:64" s="7" customFormat="1" ht="27" customHeight="1">
      <c r="B130" s="22"/>
      <c r="C130" s="124" t="s">
        <v>17</v>
      </c>
      <c r="D130" s="124" t="s">
        <v>140</v>
      </c>
      <c r="E130" s="125" t="s">
        <v>206</v>
      </c>
      <c r="F130" s="200" t="s">
        <v>207</v>
      </c>
      <c r="G130" s="192"/>
      <c r="H130" s="192"/>
      <c r="I130" s="192"/>
      <c r="J130" s="126" t="s">
        <v>208</v>
      </c>
      <c r="K130" s="127">
        <v>163.6</v>
      </c>
      <c r="L130" s="201"/>
      <c r="M130" s="202"/>
      <c r="N130" s="193">
        <f>ROUND($L$130*$K$130,2)</f>
        <v>0</v>
      </c>
      <c r="O130" s="192"/>
      <c r="P130" s="192"/>
      <c r="Q130" s="192"/>
      <c r="R130" s="23"/>
      <c r="T130" s="128"/>
      <c r="U130" s="29" t="s">
        <v>36</v>
      </c>
      <c r="V130" s="129">
        <v>0.182</v>
      </c>
      <c r="W130" s="129">
        <f>$V$130*$K$130</f>
        <v>29.775199999999998</v>
      </c>
      <c r="X130" s="129">
        <v>0</v>
      </c>
      <c r="Y130" s="129">
        <f>$X$130*$K$130</f>
        <v>0</v>
      </c>
      <c r="Z130" s="129">
        <v>0.316</v>
      </c>
      <c r="AA130" s="130">
        <f>$Z$130*$K$130</f>
        <v>51.6976</v>
      </c>
      <c r="AR130" s="7" t="s">
        <v>144</v>
      </c>
      <c r="AT130" s="7" t="s">
        <v>140</v>
      </c>
      <c r="AU130" s="7" t="s">
        <v>100</v>
      </c>
      <c r="AY130" s="7" t="s">
        <v>139</v>
      </c>
      <c r="BE130" s="83">
        <f>IF($U$130="základní",$N$130,0)</f>
        <v>0</v>
      </c>
      <c r="BF130" s="83">
        <f>IF($U$130="snížená",$N$130,0)</f>
        <v>0</v>
      </c>
      <c r="BG130" s="83">
        <f>IF($U$130="zákl. přenesená",$N$130,0)</f>
        <v>0</v>
      </c>
      <c r="BH130" s="83">
        <f>IF($U$130="sníž. přenesená",$N$130,0)</f>
        <v>0</v>
      </c>
      <c r="BI130" s="83">
        <f>IF($U$130="nulová",$N$130,0)</f>
        <v>0</v>
      </c>
      <c r="BJ130" s="7" t="s">
        <v>17</v>
      </c>
      <c r="BK130" s="83">
        <f>ROUND($L$130*$K$130,2)</f>
        <v>0</v>
      </c>
      <c r="BL130" s="7" t="s">
        <v>144</v>
      </c>
    </row>
    <row r="131" spans="2:51" s="7" customFormat="1" ht="15.75" customHeight="1">
      <c r="B131" s="131"/>
      <c r="E131" s="132"/>
      <c r="F131" s="203" t="s">
        <v>209</v>
      </c>
      <c r="G131" s="204"/>
      <c r="H131" s="204"/>
      <c r="I131" s="204"/>
      <c r="K131" s="133">
        <v>43.2</v>
      </c>
      <c r="L131" s="151"/>
      <c r="M131" s="151"/>
      <c r="R131" s="134"/>
      <c r="T131" s="135"/>
      <c r="AA131" s="136"/>
      <c r="AT131" s="132" t="s">
        <v>148</v>
      </c>
      <c r="AU131" s="132" t="s">
        <v>100</v>
      </c>
      <c r="AV131" s="132" t="s">
        <v>100</v>
      </c>
      <c r="AW131" s="132" t="s">
        <v>109</v>
      </c>
      <c r="AX131" s="132" t="s">
        <v>71</v>
      </c>
      <c r="AY131" s="132" t="s">
        <v>139</v>
      </c>
    </row>
    <row r="132" spans="2:51" s="7" customFormat="1" ht="15.75" customHeight="1">
      <c r="B132" s="131"/>
      <c r="E132" s="132"/>
      <c r="F132" s="203" t="s">
        <v>210</v>
      </c>
      <c r="G132" s="204"/>
      <c r="H132" s="204"/>
      <c r="I132" s="204"/>
      <c r="K132" s="133">
        <v>120.4</v>
      </c>
      <c r="L132" s="151"/>
      <c r="M132" s="151"/>
      <c r="R132" s="134"/>
      <c r="T132" s="135"/>
      <c r="AA132" s="136"/>
      <c r="AT132" s="132" t="s">
        <v>148</v>
      </c>
      <c r="AU132" s="132" t="s">
        <v>100</v>
      </c>
      <c r="AV132" s="132" t="s">
        <v>100</v>
      </c>
      <c r="AW132" s="132" t="s">
        <v>109</v>
      </c>
      <c r="AX132" s="132" t="s">
        <v>71</v>
      </c>
      <c r="AY132" s="132" t="s">
        <v>139</v>
      </c>
    </row>
    <row r="133" spans="2:51" s="7" customFormat="1" ht="15.75" customHeight="1">
      <c r="B133" s="137"/>
      <c r="E133" s="138"/>
      <c r="F133" s="206" t="s">
        <v>156</v>
      </c>
      <c r="G133" s="207"/>
      <c r="H133" s="207"/>
      <c r="I133" s="207"/>
      <c r="K133" s="139">
        <v>163.6</v>
      </c>
      <c r="L133" s="151"/>
      <c r="M133" s="151"/>
      <c r="R133" s="140"/>
      <c r="T133" s="141"/>
      <c r="AA133" s="142"/>
      <c r="AT133" s="138" t="s">
        <v>148</v>
      </c>
      <c r="AU133" s="138" t="s">
        <v>100</v>
      </c>
      <c r="AV133" s="138" t="s">
        <v>144</v>
      </c>
      <c r="AW133" s="138" t="s">
        <v>109</v>
      </c>
      <c r="AX133" s="138" t="s">
        <v>17</v>
      </c>
      <c r="AY133" s="138" t="s">
        <v>139</v>
      </c>
    </row>
    <row r="134" spans="2:64" s="7" customFormat="1" ht="15.75" customHeight="1">
      <c r="B134" s="22"/>
      <c r="C134" s="124" t="s">
        <v>100</v>
      </c>
      <c r="D134" s="124" t="s">
        <v>140</v>
      </c>
      <c r="E134" s="125" t="s">
        <v>211</v>
      </c>
      <c r="F134" s="200" t="s">
        <v>212</v>
      </c>
      <c r="G134" s="192"/>
      <c r="H134" s="192"/>
      <c r="I134" s="192"/>
      <c r="J134" s="126" t="s">
        <v>213</v>
      </c>
      <c r="K134" s="127">
        <v>15</v>
      </c>
      <c r="L134" s="201"/>
      <c r="M134" s="202"/>
      <c r="N134" s="193">
        <f>ROUND($L$134*$K$134,2)</f>
        <v>0</v>
      </c>
      <c r="O134" s="192"/>
      <c r="P134" s="192"/>
      <c r="Q134" s="192"/>
      <c r="R134" s="23"/>
      <c r="T134" s="128"/>
      <c r="U134" s="29" t="s">
        <v>36</v>
      </c>
      <c r="V134" s="129">
        <v>0.645</v>
      </c>
      <c r="W134" s="129">
        <f>$V$134*$K$134</f>
        <v>9.675</v>
      </c>
      <c r="X134" s="129">
        <v>0.01559</v>
      </c>
      <c r="Y134" s="129">
        <f>$X$134*$K$134</f>
        <v>0.23385</v>
      </c>
      <c r="Z134" s="129">
        <v>0</v>
      </c>
      <c r="AA134" s="130">
        <f>$Z$134*$K$134</f>
        <v>0</v>
      </c>
      <c r="AR134" s="7" t="s">
        <v>144</v>
      </c>
      <c r="AT134" s="7" t="s">
        <v>140</v>
      </c>
      <c r="AU134" s="7" t="s">
        <v>100</v>
      </c>
      <c r="AY134" s="7" t="s">
        <v>139</v>
      </c>
      <c r="BE134" s="83">
        <f>IF($U$134="základní",$N$134,0)</f>
        <v>0</v>
      </c>
      <c r="BF134" s="83">
        <f>IF($U$134="snížená",$N$134,0)</f>
        <v>0</v>
      </c>
      <c r="BG134" s="83">
        <f>IF($U$134="zákl. přenesená",$N$134,0)</f>
        <v>0</v>
      </c>
      <c r="BH134" s="83">
        <f>IF($U$134="sníž. přenesená",$N$134,0)</f>
        <v>0</v>
      </c>
      <c r="BI134" s="83">
        <f>IF($U$134="nulová",$N$134,0)</f>
        <v>0</v>
      </c>
      <c r="BJ134" s="7" t="s">
        <v>17</v>
      </c>
      <c r="BK134" s="83">
        <f>ROUND($L$134*$K$134,2)</f>
        <v>0</v>
      </c>
      <c r="BL134" s="7" t="s">
        <v>144</v>
      </c>
    </row>
    <row r="135" spans="2:64" s="7" customFormat="1" ht="27" customHeight="1">
      <c r="B135" s="22"/>
      <c r="C135" s="124" t="s">
        <v>157</v>
      </c>
      <c r="D135" s="124" t="s">
        <v>140</v>
      </c>
      <c r="E135" s="125" t="s">
        <v>214</v>
      </c>
      <c r="F135" s="200" t="s">
        <v>215</v>
      </c>
      <c r="G135" s="192"/>
      <c r="H135" s="192"/>
      <c r="I135" s="192"/>
      <c r="J135" s="126" t="s">
        <v>216</v>
      </c>
      <c r="K135" s="127">
        <v>45.532</v>
      </c>
      <c r="L135" s="201"/>
      <c r="M135" s="202"/>
      <c r="N135" s="193">
        <f>ROUND($L$135*$K$135,2)</f>
        <v>0</v>
      </c>
      <c r="O135" s="192"/>
      <c r="P135" s="192"/>
      <c r="Q135" s="192"/>
      <c r="R135" s="23"/>
      <c r="T135" s="128"/>
      <c r="U135" s="29" t="s">
        <v>36</v>
      </c>
      <c r="V135" s="129">
        <v>0.368</v>
      </c>
      <c r="W135" s="129">
        <f>$V$135*$K$135</f>
        <v>16.755775999999997</v>
      </c>
      <c r="X135" s="129">
        <v>0</v>
      </c>
      <c r="Y135" s="129">
        <f>$X$135*$K$135</f>
        <v>0</v>
      </c>
      <c r="Z135" s="129">
        <v>0</v>
      </c>
      <c r="AA135" s="130">
        <f>$Z$135*$K$135</f>
        <v>0</v>
      </c>
      <c r="AR135" s="7" t="s">
        <v>144</v>
      </c>
      <c r="AT135" s="7" t="s">
        <v>140</v>
      </c>
      <c r="AU135" s="7" t="s">
        <v>100</v>
      </c>
      <c r="AY135" s="7" t="s">
        <v>139</v>
      </c>
      <c r="BE135" s="83">
        <f>IF($U$135="základní",$N$135,0)</f>
        <v>0</v>
      </c>
      <c r="BF135" s="83">
        <f>IF($U$135="snížená",$N$135,0)</f>
        <v>0</v>
      </c>
      <c r="BG135" s="83">
        <f>IF($U$135="zákl. přenesená",$N$135,0)</f>
        <v>0</v>
      </c>
      <c r="BH135" s="83">
        <f>IF($U$135="sníž. přenesená",$N$135,0)</f>
        <v>0</v>
      </c>
      <c r="BI135" s="83">
        <f>IF($U$135="nulová",$N$135,0)</f>
        <v>0</v>
      </c>
      <c r="BJ135" s="7" t="s">
        <v>17</v>
      </c>
      <c r="BK135" s="83">
        <f>ROUND($L$135*$K$135,2)</f>
        <v>0</v>
      </c>
      <c r="BL135" s="7" t="s">
        <v>144</v>
      </c>
    </row>
    <row r="136" spans="2:51" s="7" customFormat="1" ht="15.75" customHeight="1">
      <c r="B136" s="131"/>
      <c r="E136" s="132"/>
      <c r="F136" s="203" t="s">
        <v>217</v>
      </c>
      <c r="G136" s="204"/>
      <c r="H136" s="204"/>
      <c r="I136" s="204"/>
      <c r="K136" s="133">
        <v>45.532</v>
      </c>
      <c r="L136" s="151"/>
      <c r="M136" s="151"/>
      <c r="R136" s="134"/>
      <c r="T136" s="135"/>
      <c r="AA136" s="136"/>
      <c r="AT136" s="132" t="s">
        <v>148</v>
      </c>
      <c r="AU136" s="132" t="s">
        <v>100</v>
      </c>
      <c r="AV136" s="132" t="s">
        <v>100</v>
      </c>
      <c r="AW136" s="132" t="s">
        <v>109</v>
      </c>
      <c r="AX136" s="132" t="s">
        <v>17</v>
      </c>
      <c r="AY136" s="132" t="s">
        <v>139</v>
      </c>
    </row>
    <row r="137" spans="2:64" s="7" customFormat="1" ht="27" customHeight="1">
      <c r="B137" s="22"/>
      <c r="C137" s="124" t="s">
        <v>144</v>
      </c>
      <c r="D137" s="124" t="s">
        <v>140</v>
      </c>
      <c r="E137" s="125" t="s">
        <v>218</v>
      </c>
      <c r="F137" s="200" t="s">
        <v>219</v>
      </c>
      <c r="G137" s="192"/>
      <c r="H137" s="192"/>
      <c r="I137" s="192"/>
      <c r="J137" s="126" t="s">
        <v>216</v>
      </c>
      <c r="K137" s="127">
        <v>13.66</v>
      </c>
      <c r="L137" s="201"/>
      <c r="M137" s="202"/>
      <c r="N137" s="193">
        <f>ROUND($L$137*$K$137,2)</f>
        <v>0</v>
      </c>
      <c r="O137" s="192"/>
      <c r="P137" s="192"/>
      <c r="Q137" s="192"/>
      <c r="R137" s="23"/>
      <c r="T137" s="128"/>
      <c r="U137" s="29" t="s">
        <v>36</v>
      </c>
      <c r="V137" s="129">
        <v>0.058</v>
      </c>
      <c r="W137" s="129">
        <f>$V$137*$K$137</f>
        <v>0.7922800000000001</v>
      </c>
      <c r="X137" s="129">
        <v>0</v>
      </c>
      <c r="Y137" s="129">
        <f>$X$137*$K$137</f>
        <v>0</v>
      </c>
      <c r="Z137" s="129">
        <v>0</v>
      </c>
      <c r="AA137" s="130">
        <f>$Z$137*$K$137</f>
        <v>0</v>
      </c>
      <c r="AR137" s="7" t="s">
        <v>144</v>
      </c>
      <c r="AT137" s="7" t="s">
        <v>140</v>
      </c>
      <c r="AU137" s="7" t="s">
        <v>100</v>
      </c>
      <c r="AY137" s="7" t="s">
        <v>139</v>
      </c>
      <c r="BE137" s="83">
        <f>IF($U$137="základní",$N$137,0)</f>
        <v>0</v>
      </c>
      <c r="BF137" s="83">
        <f>IF($U$137="snížená",$N$137,0)</f>
        <v>0</v>
      </c>
      <c r="BG137" s="83">
        <f>IF($U$137="zákl. přenesená",$N$137,0)</f>
        <v>0</v>
      </c>
      <c r="BH137" s="83">
        <f>IF($U$137="sníž. přenesená",$N$137,0)</f>
        <v>0</v>
      </c>
      <c r="BI137" s="83">
        <f>IF($U$137="nulová",$N$137,0)</f>
        <v>0</v>
      </c>
      <c r="BJ137" s="7" t="s">
        <v>17</v>
      </c>
      <c r="BK137" s="83">
        <f>ROUND($L$137*$K$137,2)</f>
        <v>0</v>
      </c>
      <c r="BL137" s="7" t="s">
        <v>144</v>
      </c>
    </row>
    <row r="138" spans="2:51" s="7" customFormat="1" ht="15.75" customHeight="1">
      <c r="B138" s="131"/>
      <c r="E138" s="132"/>
      <c r="F138" s="203" t="s">
        <v>220</v>
      </c>
      <c r="G138" s="204"/>
      <c r="H138" s="204"/>
      <c r="I138" s="204"/>
      <c r="K138" s="133">
        <v>13.66</v>
      </c>
      <c r="L138" s="151"/>
      <c r="M138" s="151"/>
      <c r="R138" s="134"/>
      <c r="T138" s="135"/>
      <c r="AA138" s="136"/>
      <c r="AT138" s="132" t="s">
        <v>148</v>
      </c>
      <c r="AU138" s="132" t="s">
        <v>100</v>
      </c>
      <c r="AV138" s="132" t="s">
        <v>100</v>
      </c>
      <c r="AW138" s="132" t="s">
        <v>109</v>
      </c>
      <c r="AX138" s="132" t="s">
        <v>17</v>
      </c>
      <c r="AY138" s="132" t="s">
        <v>139</v>
      </c>
    </row>
    <row r="139" spans="2:64" s="7" customFormat="1" ht="27" customHeight="1">
      <c r="B139" s="22"/>
      <c r="C139" s="124" t="s">
        <v>167</v>
      </c>
      <c r="D139" s="124" t="s">
        <v>140</v>
      </c>
      <c r="E139" s="125" t="s">
        <v>221</v>
      </c>
      <c r="F139" s="200" t="s">
        <v>222</v>
      </c>
      <c r="G139" s="192"/>
      <c r="H139" s="192"/>
      <c r="I139" s="192"/>
      <c r="J139" s="126" t="s">
        <v>216</v>
      </c>
      <c r="K139" s="127">
        <v>10.8</v>
      </c>
      <c r="L139" s="201"/>
      <c r="M139" s="202"/>
      <c r="N139" s="193">
        <f>ROUND($L$139*$K$139,2)</f>
        <v>0</v>
      </c>
      <c r="O139" s="192"/>
      <c r="P139" s="192"/>
      <c r="Q139" s="192"/>
      <c r="R139" s="23"/>
      <c r="T139" s="128"/>
      <c r="U139" s="29" t="s">
        <v>36</v>
      </c>
      <c r="V139" s="129">
        <v>0.881</v>
      </c>
      <c r="W139" s="129">
        <f>$V$139*$K$139</f>
        <v>9.514800000000001</v>
      </c>
      <c r="X139" s="129">
        <v>0</v>
      </c>
      <c r="Y139" s="129">
        <f>$X$139*$K$139</f>
        <v>0</v>
      </c>
      <c r="Z139" s="129">
        <v>0</v>
      </c>
      <c r="AA139" s="130">
        <f>$Z$139*$K$139</f>
        <v>0</v>
      </c>
      <c r="AR139" s="7" t="s">
        <v>144</v>
      </c>
      <c r="AT139" s="7" t="s">
        <v>140</v>
      </c>
      <c r="AU139" s="7" t="s">
        <v>100</v>
      </c>
      <c r="AY139" s="7" t="s">
        <v>139</v>
      </c>
      <c r="BE139" s="83">
        <f>IF($U$139="základní",$N$139,0)</f>
        <v>0</v>
      </c>
      <c r="BF139" s="83">
        <f>IF($U$139="snížená",$N$139,0)</f>
        <v>0</v>
      </c>
      <c r="BG139" s="83">
        <f>IF($U$139="zákl. přenesená",$N$139,0)</f>
        <v>0</v>
      </c>
      <c r="BH139" s="83">
        <f>IF($U$139="sníž. přenesená",$N$139,0)</f>
        <v>0</v>
      </c>
      <c r="BI139" s="83">
        <f>IF($U$139="nulová",$N$139,0)</f>
        <v>0</v>
      </c>
      <c r="BJ139" s="7" t="s">
        <v>17</v>
      </c>
      <c r="BK139" s="83">
        <f>ROUND($L$139*$K$139,2)</f>
        <v>0</v>
      </c>
      <c r="BL139" s="7" t="s">
        <v>144</v>
      </c>
    </row>
    <row r="140" spans="2:51" s="7" customFormat="1" ht="15.75" customHeight="1">
      <c r="B140" s="131"/>
      <c r="E140" s="132"/>
      <c r="F140" s="203" t="s">
        <v>223</v>
      </c>
      <c r="G140" s="204"/>
      <c r="H140" s="204"/>
      <c r="I140" s="204"/>
      <c r="K140" s="133">
        <v>10.8</v>
      </c>
      <c r="L140" s="151"/>
      <c r="M140" s="151"/>
      <c r="R140" s="134"/>
      <c r="T140" s="135"/>
      <c r="AA140" s="136"/>
      <c r="AT140" s="132" t="s">
        <v>148</v>
      </c>
      <c r="AU140" s="132" t="s">
        <v>100</v>
      </c>
      <c r="AV140" s="132" t="s">
        <v>100</v>
      </c>
      <c r="AW140" s="132" t="s">
        <v>109</v>
      </c>
      <c r="AX140" s="132" t="s">
        <v>17</v>
      </c>
      <c r="AY140" s="132" t="s">
        <v>139</v>
      </c>
    </row>
    <row r="141" spans="2:64" s="7" customFormat="1" ht="27" customHeight="1">
      <c r="B141" s="22"/>
      <c r="C141" s="124" t="s">
        <v>171</v>
      </c>
      <c r="D141" s="124" t="s">
        <v>140</v>
      </c>
      <c r="E141" s="125" t="s">
        <v>224</v>
      </c>
      <c r="F141" s="200" t="s">
        <v>225</v>
      </c>
      <c r="G141" s="192"/>
      <c r="H141" s="192"/>
      <c r="I141" s="192"/>
      <c r="J141" s="126" t="s">
        <v>216</v>
      </c>
      <c r="K141" s="127">
        <v>7.2</v>
      </c>
      <c r="L141" s="201"/>
      <c r="M141" s="202"/>
      <c r="N141" s="193">
        <f>ROUND($L$141*$K$141,2)</f>
        <v>0</v>
      </c>
      <c r="O141" s="192"/>
      <c r="P141" s="192"/>
      <c r="Q141" s="192"/>
      <c r="R141" s="23"/>
      <c r="T141" s="128"/>
      <c r="U141" s="29" t="s">
        <v>36</v>
      </c>
      <c r="V141" s="129">
        <v>3.165</v>
      </c>
      <c r="W141" s="129">
        <f>$V$141*$K$141</f>
        <v>22.788</v>
      </c>
      <c r="X141" s="129">
        <v>0</v>
      </c>
      <c r="Y141" s="129">
        <f>$X$141*$K$141</f>
        <v>0</v>
      </c>
      <c r="Z141" s="129">
        <v>0</v>
      </c>
      <c r="AA141" s="130">
        <f>$Z$141*$K$141</f>
        <v>0</v>
      </c>
      <c r="AR141" s="7" t="s">
        <v>144</v>
      </c>
      <c r="AT141" s="7" t="s">
        <v>140</v>
      </c>
      <c r="AU141" s="7" t="s">
        <v>100</v>
      </c>
      <c r="AY141" s="7" t="s">
        <v>139</v>
      </c>
      <c r="BE141" s="83">
        <f>IF($U$141="základní",$N$141,0)</f>
        <v>0</v>
      </c>
      <c r="BF141" s="83">
        <f>IF($U$141="snížená",$N$141,0)</f>
        <v>0</v>
      </c>
      <c r="BG141" s="83">
        <f>IF($U$141="zákl. přenesená",$N$141,0)</f>
        <v>0</v>
      </c>
      <c r="BH141" s="83">
        <f>IF($U$141="sníž. přenesená",$N$141,0)</f>
        <v>0</v>
      </c>
      <c r="BI141" s="83">
        <f>IF($U$141="nulová",$N$141,0)</f>
        <v>0</v>
      </c>
      <c r="BJ141" s="7" t="s">
        <v>17</v>
      </c>
      <c r="BK141" s="83">
        <f>ROUND($L$141*$K$141,2)</f>
        <v>0</v>
      </c>
      <c r="BL141" s="7" t="s">
        <v>144</v>
      </c>
    </row>
    <row r="142" spans="2:51" s="7" customFormat="1" ht="27" customHeight="1">
      <c r="B142" s="131"/>
      <c r="E142" s="132"/>
      <c r="F142" s="203" t="s">
        <v>226</v>
      </c>
      <c r="G142" s="204"/>
      <c r="H142" s="204"/>
      <c r="I142" s="204"/>
      <c r="K142" s="133">
        <v>7.2</v>
      </c>
      <c r="L142" s="151"/>
      <c r="M142" s="151"/>
      <c r="R142" s="134"/>
      <c r="T142" s="135"/>
      <c r="AA142" s="136"/>
      <c r="AT142" s="132" t="s">
        <v>148</v>
      </c>
      <c r="AU142" s="132" t="s">
        <v>100</v>
      </c>
      <c r="AV142" s="132" t="s">
        <v>100</v>
      </c>
      <c r="AW142" s="132" t="s">
        <v>109</v>
      </c>
      <c r="AX142" s="132" t="s">
        <v>17</v>
      </c>
      <c r="AY142" s="132" t="s">
        <v>139</v>
      </c>
    </row>
    <row r="143" spans="2:64" s="7" customFormat="1" ht="27" customHeight="1">
      <c r="B143" s="22"/>
      <c r="C143" s="124" t="s">
        <v>175</v>
      </c>
      <c r="D143" s="124" t="s">
        <v>140</v>
      </c>
      <c r="E143" s="125" t="s">
        <v>227</v>
      </c>
      <c r="F143" s="200" t="s">
        <v>228</v>
      </c>
      <c r="G143" s="192"/>
      <c r="H143" s="192"/>
      <c r="I143" s="192"/>
      <c r="J143" s="126" t="s">
        <v>216</v>
      </c>
      <c r="K143" s="127">
        <v>1.8</v>
      </c>
      <c r="L143" s="201"/>
      <c r="M143" s="202"/>
      <c r="N143" s="193">
        <f>ROUND($L$143*$K$143,2)</f>
        <v>0</v>
      </c>
      <c r="O143" s="192"/>
      <c r="P143" s="192"/>
      <c r="Q143" s="192"/>
      <c r="R143" s="23"/>
      <c r="T143" s="128"/>
      <c r="U143" s="29" t="s">
        <v>36</v>
      </c>
      <c r="V143" s="129">
        <v>2.32</v>
      </c>
      <c r="W143" s="129">
        <f>$V$143*$K$143</f>
        <v>4.176</v>
      </c>
      <c r="X143" s="129">
        <v>0</v>
      </c>
      <c r="Y143" s="129">
        <f>$X$143*$K$143</f>
        <v>0</v>
      </c>
      <c r="Z143" s="129">
        <v>0</v>
      </c>
      <c r="AA143" s="130">
        <f>$Z$143*$K$143</f>
        <v>0</v>
      </c>
      <c r="AR143" s="7" t="s">
        <v>144</v>
      </c>
      <c r="AT143" s="7" t="s">
        <v>140</v>
      </c>
      <c r="AU143" s="7" t="s">
        <v>100</v>
      </c>
      <c r="AY143" s="7" t="s">
        <v>139</v>
      </c>
      <c r="BE143" s="83">
        <f>IF($U$143="základní",$N$143,0)</f>
        <v>0</v>
      </c>
      <c r="BF143" s="83">
        <f>IF($U$143="snížená",$N$143,0)</f>
        <v>0</v>
      </c>
      <c r="BG143" s="83">
        <f>IF($U$143="zákl. přenesená",$N$143,0)</f>
        <v>0</v>
      </c>
      <c r="BH143" s="83">
        <f>IF($U$143="sníž. přenesená",$N$143,0)</f>
        <v>0</v>
      </c>
      <c r="BI143" s="83">
        <f>IF($U$143="nulová",$N$143,0)</f>
        <v>0</v>
      </c>
      <c r="BJ143" s="7" t="s">
        <v>17</v>
      </c>
      <c r="BK143" s="83">
        <f>ROUND($L$143*$K$143,2)</f>
        <v>0</v>
      </c>
      <c r="BL143" s="7" t="s">
        <v>144</v>
      </c>
    </row>
    <row r="144" spans="2:51" s="7" customFormat="1" ht="27" customHeight="1">
      <c r="B144" s="131"/>
      <c r="E144" s="132"/>
      <c r="F144" s="203" t="s">
        <v>229</v>
      </c>
      <c r="G144" s="204"/>
      <c r="H144" s="204"/>
      <c r="I144" s="204"/>
      <c r="K144" s="133">
        <v>1.8</v>
      </c>
      <c r="L144" s="151"/>
      <c r="M144" s="151"/>
      <c r="R144" s="134"/>
      <c r="T144" s="135"/>
      <c r="AA144" s="136"/>
      <c r="AT144" s="132" t="s">
        <v>148</v>
      </c>
      <c r="AU144" s="132" t="s">
        <v>100</v>
      </c>
      <c r="AV144" s="132" t="s">
        <v>100</v>
      </c>
      <c r="AW144" s="132" t="s">
        <v>109</v>
      </c>
      <c r="AX144" s="132" t="s">
        <v>17</v>
      </c>
      <c r="AY144" s="132" t="s">
        <v>139</v>
      </c>
    </row>
    <row r="145" spans="2:64" s="7" customFormat="1" ht="27" customHeight="1">
      <c r="B145" s="22"/>
      <c r="C145" s="124" t="s">
        <v>165</v>
      </c>
      <c r="D145" s="124" t="s">
        <v>140</v>
      </c>
      <c r="E145" s="125" t="s">
        <v>230</v>
      </c>
      <c r="F145" s="200" t="s">
        <v>231</v>
      </c>
      <c r="G145" s="192"/>
      <c r="H145" s="192"/>
      <c r="I145" s="192"/>
      <c r="J145" s="126" t="s">
        <v>216</v>
      </c>
      <c r="K145" s="127">
        <v>0.54</v>
      </c>
      <c r="L145" s="201"/>
      <c r="M145" s="202"/>
      <c r="N145" s="193">
        <f>ROUND($L$145*$K$145,2)</f>
        <v>0</v>
      </c>
      <c r="O145" s="192"/>
      <c r="P145" s="192"/>
      <c r="Q145" s="192"/>
      <c r="R145" s="23"/>
      <c r="T145" s="128"/>
      <c r="U145" s="29" t="s">
        <v>36</v>
      </c>
      <c r="V145" s="129">
        <v>0.654</v>
      </c>
      <c r="W145" s="129">
        <f>$V$145*$K$145</f>
        <v>0.35316000000000003</v>
      </c>
      <c r="X145" s="129">
        <v>0</v>
      </c>
      <c r="Y145" s="129">
        <f>$X$145*$K$145</f>
        <v>0</v>
      </c>
      <c r="Z145" s="129">
        <v>0</v>
      </c>
      <c r="AA145" s="130">
        <f>$Z$145*$K$145</f>
        <v>0</v>
      </c>
      <c r="AR145" s="7" t="s">
        <v>144</v>
      </c>
      <c r="AT145" s="7" t="s">
        <v>140</v>
      </c>
      <c r="AU145" s="7" t="s">
        <v>100</v>
      </c>
      <c r="AY145" s="7" t="s">
        <v>139</v>
      </c>
      <c r="BE145" s="83">
        <f>IF($U$145="základní",$N$145,0)</f>
        <v>0</v>
      </c>
      <c r="BF145" s="83">
        <f>IF($U$145="snížená",$N$145,0)</f>
        <v>0</v>
      </c>
      <c r="BG145" s="83">
        <f>IF($U$145="zákl. přenesená",$N$145,0)</f>
        <v>0</v>
      </c>
      <c r="BH145" s="83">
        <f>IF($U$145="sníž. přenesená",$N$145,0)</f>
        <v>0</v>
      </c>
      <c r="BI145" s="83">
        <f>IF($U$145="nulová",$N$145,0)</f>
        <v>0</v>
      </c>
      <c r="BJ145" s="7" t="s">
        <v>17</v>
      </c>
      <c r="BK145" s="83">
        <f>ROUND($L$145*$K$145,2)</f>
        <v>0</v>
      </c>
      <c r="BL145" s="7" t="s">
        <v>144</v>
      </c>
    </row>
    <row r="146" spans="2:51" s="7" customFormat="1" ht="15.75" customHeight="1">
      <c r="B146" s="131"/>
      <c r="E146" s="132"/>
      <c r="F146" s="203" t="s">
        <v>232</v>
      </c>
      <c r="G146" s="204"/>
      <c r="H146" s="204"/>
      <c r="I146" s="204"/>
      <c r="K146" s="133">
        <v>0.54</v>
      </c>
      <c r="L146" s="151"/>
      <c r="M146" s="151"/>
      <c r="R146" s="134"/>
      <c r="T146" s="135"/>
      <c r="AA146" s="136"/>
      <c r="AT146" s="132" t="s">
        <v>148</v>
      </c>
      <c r="AU146" s="132" t="s">
        <v>100</v>
      </c>
      <c r="AV146" s="132" t="s">
        <v>100</v>
      </c>
      <c r="AW146" s="132" t="s">
        <v>109</v>
      </c>
      <c r="AX146" s="132" t="s">
        <v>17</v>
      </c>
      <c r="AY146" s="132" t="s">
        <v>139</v>
      </c>
    </row>
    <row r="147" spans="2:64" s="7" customFormat="1" ht="15.75" customHeight="1">
      <c r="B147" s="22"/>
      <c r="C147" s="124" t="s">
        <v>181</v>
      </c>
      <c r="D147" s="124" t="s">
        <v>140</v>
      </c>
      <c r="E147" s="125" t="s">
        <v>233</v>
      </c>
      <c r="F147" s="200" t="s">
        <v>234</v>
      </c>
      <c r="G147" s="192"/>
      <c r="H147" s="192"/>
      <c r="I147" s="192"/>
      <c r="J147" s="126" t="s">
        <v>208</v>
      </c>
      <c r="K147" s="127">
        <v>46.746</v>
      </c>
      <c r="L147" s="201"/>
      <c r="M147" s="202"/>
      <c r="N147" s="193">
        <f>ROUND($L$147*$K$147,2)</f>
        <v>0</v>
      </c>
      <c r="O147" s="192"/>
      <c r="P147" s="192"/>
      <c r="Q147" s="192"/>
      <c r="R147" s="23"/>
      <c r="T147" s="128"/>
      <c r="U147" s="29" t="s">
        <v>36</v>
      </c>
      <c r="V147" s="129">
        <v>0.327</v>
      </c>
      <c r="W147" s="129">
        <f>$V$147*$K$147</f>
        <v>15.285942000000002</v>
      </c>
      <c r="X147" s="129">
        <v>0</v>
      </c>
      <c r="Y147" s="129">
        <f>$X$147*$K$147</f>
        <v>0</v>
      </c>
      <c r="Z147" s="129">
        <v>0</v>
      </c>
      <c r="AA147" s="130">
        <f>$Z$147*$K$147</f>
        <v>0</v>
      </c>
      <c r="AR147" s="7" t="s">
        <v>144</v>
      </c>
      <c r="AT147" s="7" t="s">
        <v>140</v>
      </c>
      <c r="AU147" s="7" t="s">
        <v>100</v>
      </c>
      <c r="AY147" s="7" t="s">
        <v>139</v>
      </c>
      <c r="BE147" s="83">
        <f>IF($U$147="základní",$N$147,0)</f>
        <v>0</v>
      </c>
      <c r="BF147" s="83">
        <f>IF($U$147="snížená",$N$147,0)</f>
        <v>0</v>
      </c>
      <c r="BG147" s="83">
        <f>IF($U$147="zákl. přenesená",$N$147,0)</f>
        <v>0</v>
      </c>
      <c r="BH147" s="83">
        <f>IF($U$147="sníž. přenesená",$N$147,0)</f>
        <v>0</v>
      </c>
      <c r="BI147" s="83">
        <f>IF($U$147="nulová",$N$147,0)</f>
        <v>0</v>
      </c>
      <c r="BJ147" s="7" t="s">
        <v>17</v>
      </c>
      <c r="BK147" s="83">
        <f>ROUND($L$147*$K$147,2)</f>
        <v>0</v>
      </c>
      <c r="BL147" s="7" t="s">
        <v>144</v>
      </c>
    </row>
    <row r="148" spans="2:64" s="7" customFormat="1" ht="15.75" customHeight="1">
      <c r="B148" s="22"/>
      <c r="C148" s="124" t="s">
        <v>22</v>
      </c>
      <c r="D148" s="124" t="s">
        <v>140</v>
      </c>
      <c r="E148" s="125" t="s">
        <v>235</v>
      </c>
      <c r="F148" s="200" t="s">
        <v>236</v>
      </c>
      <c r="G148" s="192"/>
      <c r="H148" s="192"/>
      <c r="I148" s="192"/>
      <c r="J148" s="126" t="s">
        <v>208</v>
      </c>
      <c r="K148" s="127">
        <v>14.024</v>
      </c>
      <c r="L148" s="201"/>
      <c r="M148" s="202"/>
      <c r="N148" s="193">
        <f>ROUND($L$148*$K$148,2)</f>
        <v>0</v>
      </c>
      <c r="O148" s="192"/>
      <c r="P148" s="192"/>
      <c r="Q148" s="192"/>
      <c r="R148" s="23"/>
      <c r="T148" s="128"/>
      <c r="U148" s="29" t="s">
        <v>36</v>
      </c>
      <c r="V148" s="129">
        <v>0.526</v>
      </c>
      <c r="W148" s="129">
        <f>$V$148*$K$148</f>
        <v>7.376624</v>
      </c>
      <c r="X148" s="129">
        <v>0</v>
      </c>
      <c r="Y148" s="129">
        <f>$X$148*$K$148</f>
        <v>0</v>
      </c>
      <c r="Z148" s="129">
        <v>0</v>
      </c>
      <c r="AA148" s="130">
        <f>$Z$148*$K$148</f>
        <v>0</v>
      </c>
      <c r="AR148" s="7" t="s">
        <v>144</v>
      </c>
      <c r="AT148" s="7" t="s">
        <v>140</v>
      </c>
      <c r="AU148" s="7" t="s">
        <v>100</v>
      </c>
      <c r="AY148" s="7" t="s">
        <v>139</v>
      </c>
      <c r="BE148" s="83">
        <f>IF($U$148="základní",$N$148,0)</f>
        <v>0</v>
      </c>
      <c r="BF148" s="83">
        <f>IF($U$148="snížená",$N$148,0)</f>
        <v>0</v>
      </c>
      <c r="BG148" s="83">
        <f>IF($U$148="zákl. přenesená",$N$148,0)</f>
        <v>0</v>
      </c>
      <c r="BH148" s="83">
        <f>IF($U$148="sníž. přenesená",$N$148,0)</f>
        <v>0</v>
      </c>
      <c r="BI148" s="83">
        <f>IF($U$148="nulová",$N$148,0)</f>
        <v>0</v>
      </c>
      <c r="BJ148" s="7" t="s">
        <v>17</v>
      </c>
      <c r="BK148" s="83">
        <f>ROUND($L$148*$K$148,2)</f>
        <v>0</v>
      </c>
      <c r="BL148" s="7" t="s">
        <v>144</v>
      </c>
    </row>
    <row r="149" spans="2:51" s="7" customFormat="1" ht="15.75" customHeight="1">
      <c r="B149" s="131"/>
      <c r="E149" s="132"/>
      <c r="F149" s="203" t="s">
        <v>237</v>
      </c>
      <c r="G149" s="204"/>
      <c r="H149" s="204"/>
      <c r="I149" s="204"/>
      <c r="K149" s="133">
        <v>14.024</v>
      </c>
      <c r="L149" s="151"/>
      <c r="M149" s="151"/>
      <c r="R149" s="134"/>
      <c r="T149" s="135"/>
      <c r="AA149" s="136"/>
      <c r="AT149" s="132" t="s">
        <v>148</v>
      </c>
      <c r="AU149" s="132" t="s">
        <v>100</v>
      </c>
      <c r="AV149" s="132" t="s">
        <v>100</v>
      </c>
      <c r="AW149" s="132" t="s">
        <v>109</v>
      </c>
      <c r="AX149" s="132" t="s">
        <v>17</v>
      </c>
      <c r="AY149" s="132" t="s">
        <v>139</v>
      </c>
    </row>
    <row r="150" spans="2:64" s="7" customFormat="1" ht="27" customHeight="1">
      <c r="B150" s="22"/>
      <c r="C150" s="124" t="s">
        <v>190</v>
      </c>
      <c r="D150" s="124" t="s">
        <v>140</v>
      </c>
      <c r="E150" s="125" t="s">
        <v>238</v>
      </c>
      <c r="F150" s="200" t="s">
        <v>239</v>
      </c>
      <c r="G150" s="192"/>
      <c r="H150" s="192"/>
      <c r="I150" s="192"/>
      <c r="J150" s="126" t="s">
        <v>216</v>
      </c>
      <c r="K150" s="127">
        <v>51.832</v>
      </c>
      <c r="L150" s="201"/>
      <c r="M150" s="202"/>
      <c r="N150" s="193">
        <f>ROUND($L$150*$K$150,2)</f>
        <v>0</v>
      </c>
      <c r="O150" s="192"/>
      <c r="P150" s="192"/>
      <c r="Q150" s="192"/>
      <c r="R150" s="23"/>
      <c r="T150" s="128"/>
      <c r="U150" s="29" t="s">
        <v>36</v>
      </c>
      <c r="V150" s="129">
        <v>0.046</v>
      </c>
      <c r="W150" s="129">
        <f>$V$150*$K$150</f>
        <v>2.384272</v>
      </c>
      <c r="X150" s="129">
        <v>0</v>
      </c>
      <c r="Y150" s="129">
        <f>$X$150*$K$150</f>
        <v>0</v>
      </c>
      <c r="Z150" s="129">
        <v>0</v>
      </c>
      <c r="AA150" s="130">
        <f>$Z$150*$K$150</f>
        <v>0</v>
      </c>
      <c r="AR150" s="7" t="s">
        <v>144</v>
      </c>
      <c r="AT150" s="7" t="s">
        <v>140</v>
      </c>
      <c r="AU150" s="7" t="s">
        <v>100</v>
      </c>
      <c r="AY150" s="7" t="s">
        <v>139</v>
      </c>
      <c r="BE150" s="83">
        <f>IF($U$150="základní",$N$150,0)</f>
        <v>0</v>
      </c>
      <c r="BF150" s="83">
        <f>IF($U$150="snížená",$N$150,0)</f>
        <v>0</v>
      </c>
      <c r="BG150" s="83">
        <f>IF($U$150="zákl. přenesená",$N$150,0)</f>
        <v>0</v>
      </c>
      <c r="BH150" s="83">
        <f>IF($U$150="sníž. přenesená",$N$150,0)</f>
        <v>0</v>
      </c>
      <c r="BI150" s="83">
        <f>IF($U$150="nulová",$N$150,0)</f>
        <v>0</v>
      </c>
      <c r="BJ150" s="7" t="s">
        <v>17</v>
      </c>
      <c r="BK150" s="83">
        <f>ROUND($L$150*$K$150,2)</f>
        <v>0</v>
      </c>
      <c r="BL150" s="7" t="s">
        <v>144</v>
      </c>
    </row>
    <row r="151" spans="2:51" s="7" customFormat="1" ht="15.75" customHeight="1">
      <c r="B151" s="131"/>
      <c r="E151" s="132"/>
      <c r="F151" s="203" t="s">
        <v>240</v>
      </c>
      <c r="G151" s="204"/>
      <c r="H151" s="204"/>
      <c r="I151" s="204"/>
      <c r="K151" s="133">
        <v>51.832</v>
      </c>
      <c r="L151" s="151"/>
      <c r="M151" s="151"/>
      <c r="R151" s="134"/>
      <c r="T151" s="135"/>
      <c r="AA151" s="136"/>
      <c r="AT151" s="132" t="s">
        <v>148</v>
      </c>
      <c r="AU151" s="132" t="s">
        <v>100</v>
      </c>
      <c r="AV151" s="132" t="s">
        <v>100</v>
      </c>
      <c r="AW151" s="132" t="s">
        <v>109</v>
      </c>
      <c r="AX151" s="132" t="s">
        <v>17</v>
      </c>
      <c r="AY151" s="132" t="s">
        <v>139</v>
      </c>
    </row>
    <row r="152" spans="2:64" s="7" customFormat="1" ht="39" customHeight="1">
      <c r="B152" s="22"/>
      <c r="C152" s="124" t="s">
        <v>241</v>
      </c>
      <c r="D152" s="124" t="s">
        <v>140</v>
      </c>
      <c r="E152" s="125" t="s">
        <v>242</v>
      </c>
      <c r="F152" s="200" t="s">
        <v>243</v>
      </c>
      <c r="G152" s="192"/>
      <c r="H152" s="192"/>
      <c r="I152" s="192"/>
      <c r="J152" s="126" t="s">
        <v>216</v>
      </c>
      <c r="K152" s="127">
        <v>570.152</v>
      </c>
      <c r="L152" s="201"/>
      <c r="M152" s="202"/>
      <c r="N152" s="193">
        <f>ROUND($L$152*$K$152,2)</f>
        <v>0</v>
      </c>
      <c r="O152" s="192"/>
      <c r="P152" s="192"/>
      <c r="Q152" s="192"/>
      <c r="R152" s="23"/>
      <c r="T152" s="128"/>
      <c r="U152" s="29" t="s">
        <v>36</v>
      </c>
      <c r="V152" s="129">
        <v>0.004</v>
      </c>
      <c r="W152" s="129">
        <f>$V$152*$K$152</f>
        <v>2.2806080000000004</v>
      </c>
      <c r="X152" s="129">
        <v>0</v>
      </c>
      <c r="Y152" s="129">
        <f>$X$152*$K$152</f>
        <v>0</v>
      </c>
      <c r="Z152" s="129">
        <v>0</v>
      </c>
      <c r="AA152" s="130">
        <f>$Z$152*$K$152</f>
        <v>0</v>
      </c>
      <c r="AR152" s="7" t="s">
        <v>144</v>
      </c>
      <c r="AT152" s="7" t="s">
        <v>140</v>
      </c>
      <c r="AU152" s="7" t="s">
        <v>100</v>
      </c>
      <c r="AY152" s="7" t="s">
        <v>139</v>
      </c>
      <c r="BE152" s="83">
        <f>IF($U$152="základní",$N$152,0)</f>
        <v>0</v>
      </c>
      <c r="BF152" s="83">
        <f>IF($U$152="snížená",$N$152,0)</f>
        <v>0</v>
      </c>
      <c r="BG152" s="83">
        <f>IF($U$152="zákl. přenesená",$N$152,0)</f>
        <v>0</v>
      </c>
      <c r="BH152" s="83">
        <f>IF($U$152="sníž. přenesená",$N$152,0)</f>
        <v>0</v>
      </c>
      <c r="BI152" s="83">
        <f>IF($U$152="nulová",$N$152,0)</f>
        <v>0</v>
      </c>
      <c r="BJ152" s="7" t="s">
        <v>17</v>
      </c>
      <c r="BK152" s="83">
        <f>ROUND($L$152*$K$152,2)</f>
        <v>0</v>
      </c>
      <c r="BL152" s="7" t="s">
        <v>144</v>
      </c>
    </row>
    <row r="153" spans="2:51" s="7" customFormat="1" ht="15.75" customHeight="1">
      <c r="B153" s="131"/>
      <c r="E153" s="132"/>
      <c r="F153" s="203" t="s">
        <v>244</v>
      </c>
      <c r="G153" s="204"/>
      <c r="H153" s="204"/>
      <c r="I153" s="204"/>
      <c r="K153" s="133">
        <v>570.152</v>
      </c>
      <c r="L153" s="151"/>
      <c r="M153" s="151"/>
      <c r="R153" s="134"/>
      <c r="T153" s="135"/>
      <c r="AA153" s="136"/>
      <c r="AT153" s="132" t="s">
        <v>148</v>
      </c>
      <c r="AU153" s="132" t="s">
        <v>100</v>
      </c>
      <c r="AV153" s="132" t="s">
        <v>100</v>
      </c>
      <c r="AW153" s="132" t="s">
        <v>109</v>
      </c>
      <c r="AX153" s="132" t="s">
        <v>17</v>
      </c>
      <c r="AY153" s="132" t="s">
        <v>139</v>
      </c>
    </row>
    <row r="154" spans="2:64" s="7" customFormat="1" ht="15.75" customHeight="1">
      <c r="B154" s="22"/>
      <c r="C154" s="124" t="s">
        <v>245</v>
      </c>
      <c r="D154" s="124" t="s">
        <v>140</v>
      </c>
      <c r="E154" s="125" t="s">
        <v>246</v>
      </c>
      <c r="F154" s="200" t="s">
        <v>247</v>
      </c>
      <c r="G154" s="192"/>
      <c r="H154" s="192"/>
      <c r="I154" s="192"/>
      <c r="J154" s="126" t="s">
        <v>216</v>
      </c>
      <c r="K154" s="127">
        <v>51.832</v>
      </c>
      <c r="L154" s="201"/>
      <c r="M154" s="202"/>
      <c r="N154" s="193">
        <f>ROUND($L$154*$K$154,2)</f>
        <v>0</v>
      </c>
      <c r="O154" s="192"/>
      <c r="P154" s="192"/>
      <c r="Q154" s="192"/>
      <c r="R154" s="23"/>
      <c r="T154" s="128"/>
      <c r="U154" s="29" t="s">
        <v>36</v>
      </c>
      <c r="V154" s="129">
        <v>0.652</v>
      </c>
      <c r="W154" s="129">
        <f>$V$154*$K$154</f>
        <v>33.794464000000005</v>
      </c>
      <c r="X154" s="129">
        <v>0</v>
      </c>
      <c r="Y154" s="129">
        <f>$X$154*$K$154</f>
        <v>0</v>
      </c>
      <c r="Z154" s="129">
        <v>0</v>
      </c>
      <c r="AA154" s="130">
        <f>$Z$154*$K$154</f>
        <v>0</v>
      </c>
      <c r="AR154" s="7" t="s">
        <v>144</v>
      </c>
      <c r="AT154" s="7" t="s">
        <v>140</v>
      </c>
      <c r="AU154" s="7" t="s">
        <v>100</v>
      </c>
      <c r="AY154" s="7" t="s">
        <v>139</v>
      </c>
      <c r="BE154" s="83">
        <f>IF($U$154="základní",$N$154,0)</f>
        <v>0</v>
      </c>
      <c r="BF154" s="83">
        <f>IF($U$154="snížená",$N$154,0)</f>
        <v>0</v>
      </c>
      <c r="BG154" s="83">
        <f>IF($U$154="zákl. přenesená",$N$154,0)</f>
        <v>0</v>
      </c>
      <c r="BH154" s="83">
        <f>IF($U$154="sníž. přenesená",$N$154,0)</f>
        <v>0</v>
      </c>
      <c r="BI154" s="83">
        <f>IF($U$154="nulová",$N$154,0)</f>
        <v>0</v>
      </c>
      <c r="BJ154" s="7" t="s">
        <v>17</v>
      </c>
      <c r="BK154" s="83">
        <f>ROUND($L$154*$K$154,2)</f>
        <v>0</v>
      </c>
      <c r="BL154" s="7" t="s">
        <v>144</v>
      </c>
    </row>
    <row r="155" spans="2:64" s="7" customFormat="1" ht="15.75" customHeight="1">
      <c r="B155" s="22"/>
      <c r="C155" s="124" t="s">
        <v>248</v>
      </c>
      <c r="D155" s="124" t="s">
        <v>140</v>
      </c>
      <c r="E155" s="125" t="s">
        <v>249</v>
      </c>
      <c r="F155" s="200" t="s">
        <v>250</v>
      </c>
      <c r="G155" s="192"/>
      <c r="H155" s="192"/>
      <c r="I155" s="192"/>
      <c r="J155" s="126" t="s">
        <v>216</v>
      </c>
      <c r="K155" s="127">
        <v>51.832</v>
      </c>
      <c r="L155" s="201"/>
      <c r="M155" s="202"/>
      <c r="N155" s="193">
        <f>ROUND($L$155*$K$155,2)</f>
        <v>0</v>
      </c>
      <c r="O155" s="192"/>
      <c r="P155" s="192"/>
      <c r="Q155" s="192"/>
      <c r="R155" s="23"/>
      <c r="T155" s="128"/>
      <c r="U155" s="29" t="s">
        <v>36</v>
      </c>
      <c r="V155" s="129">
        <v>0.009</v>
      </c>
      <c r="W155" s="129">
        <f>$V$155*$K$155</f>
        <v>0.46648799999999996</v>
      </c>
      <c r="X155" s="129">
        <v>0</v>
      </c>
      <c r="Y155" s="129">
        <f>$X$155*$K$155</f>
        <v>0</v>
      </c>
      <c r="Z155" s="129">
        <v>0</v>
      </c>
      <c r="AA155" s="130">
        <f>$Z$155*$K$155</f>
        <v>0</v>
      </c>
      <c r="AR155" s="7" t="s">
        <v>144</v>
      </c>
      <c r="AT155" s="7" t="s">
        <v>140</v>
      </c>
      <c r="AU155" s="7" t="s">
        <v>100</v>
      </c>
      <c r="AY155" s="7" t="s">
        <v>139</v>
      </c>
      <c r="BE155" s="83">
        <f>IF($U$155="základní",$N$155,0)</f>
        <v>0</v>
      </c>
      <c r="BF155" s="83">
        <f>IF($U$155="snížená",$N$155,0)</f>
        <v>0</v>
      </c>
      <c r="BG155" s="83">
        <f>IF($U$155="zákl. přenesená",$N$155,0)</f>
        <v>0</v>
      </c>
      <c r="BH155" s="83">
        <f>IF($U$155="sníž. přenesená",$N$155,0)</f>
        <v>0</v>
      </c>
      <c r="BI155" s="83">
        <f>IF($U$155="nulová",$N$155,0)</f>
        <v>0</v>
      </c>
      <c r="BJ155" s="7" t="s">
        <v>17</v>
      </c>
      <c r="BK155" s="83">
        <f>ROUND($L$155*$K$155,2)</f>
        <v>0</v>
      </c>
      <c r="BL155" s="7" t="s">
        <v>144</v>
      </c>
    </row>
    <row r="156" spans="2:64" s="7" customFormat="1" ht="27" customHeight="1">
      <c r="B156" s="22"/>
      <c r="C156" s="124" t="s">
        <v>8</v>
      </c>
      <c r="D156" s="124" t="s">
        <v>140</v>
      </c>
      <c r="E156" s="125" t="s">
        <v>251</v>
      </c>
      <c r="F156" s="200" t="s">
        <v>252</v>
      </c>
      <c r="G156" s="192"/>
      <c r="H156" s="192"/>
      <c r="I156" s="192"/>
      <c r="J156" s="126" t="s">
        <v>253</v>
      </c>
      <c r="K156" s="127">
        <v>88.114</v>
      </c>
      <c r="L156" s="201"/>
      <c r="M156" s="202"/>
      <c r="N156" s="193">
        <f>ROUND($L$156*$K$156,2)</f>
        <v>0</v>
      </c>
      <c r="O156" s="192"/>
      <c r="P156" s="192"/>
      <c r="Q156" s="192"/>
      <c r="R156" s="23"/>
      <c r="T156" s="128"/>
      <c r="U156" s="29" t="s">
        <v>36</v>
      </c>
      <c r="V156" s="129">
        <v>0</v>
      </c>
      <c r="W156" s="129">
        <f>$V$156*$K$156</f>
        <v>0</v>
      </c>
      <c r="X156" s="129">
        <v>0</v>
      </c>
      <c r="Y156" s="129">
        <f>$X$156*$K$156</f>
        <v>0</v>
      </c>
      <c r="Z156" s="129">
        <v>0</v>
      </c>
      <c r="AA156" s="130">
        <f>$Z$156*$K$156</f>
        <v>0</v>
      </c>
      <c r="AR156" s="7" t="s">
        <v>144</v>
      </c>
      <c r="AT156" s="7" t="s">
        <v>140</v>
      </c>
      <c r="AU156" s="7" t="s">
        <v>100</v>
      </c>
      <c r="AY156" s="7" t="s">
        <v>139</v>
      </c>
      <c r="BE156" s="83">
        <f>IF($U$156="základní",$N$156,0)</f>
        <v>0</v>
      </c>
      <c r="BF156" s="83">
        <f>IF($U$156="snížená",$N$156,0)</f>
        <v>0</v>
      </c>
      <c r="BG156" s="83">
        <f>IF($U$156="zákl. přenesená",$N$156,0)</f>
        <v>0</v>
      </c>
      <c r="BH156" s="83">
        <f>IF($U$156="sníž. přenesená",$N$156,0)</f>
        <v>0</v>
      </c>
      <c r="BI156" s="83">
        <f>IF($U$156="nulová",$N$156,0)</f>
        <v>0</v>
      </c>
      <c r="BJ156" s="7" t="s">
        <v>17</v>
      </c>
      <c r="BK156" s="83">
        <f>ROUND($L$156*$K$156,2)</f>
        <v>0</v>
      </c>
      <c r="BL156" s="7" t="s">
        <v>144</v>
      </c>
    </row>
    <row r="157" spans="2:51" s="7" customFormat="1" ht="15.75" customHeight="1">
      <c r="B157" s="131"/>
      <c r="E157" s="132"/>
      <c r="F157" s="203" t="s">
        <v>254</v>
      </c>
      <c r="G157" s="204"/>
      <c r="H157" s="204"/>
      <c r="I157" s="204"/>
      <c r="K157" s="133">
        <v>88.114</v>
      </c>
      <c r="L157" s="151"/>
      <c r="M157" s="151"/>
      <c r="R157" s="134"/>
      <c r="T157" s="135"/>
      <c r="AA157" s="136"/>
      <c r="AT157" s="132" t="s">
        <v>148</v>
      </c>
      <c r="AU157" s="132" t="s">
        <v>100</v>
      </c>
      <c r="AV157" s="132" t="s">
        <v>100</v>
      </c>
      <c r="AW157" s="132" t="s">
        <v>109</v>
      </c>
      <c r="AX157" s="132" t="s">
        <v>17</v>
      </c>
      <c r="AY157" s="132" t="s">
        <v>139</v>
      </c>
    </row>
    <row r="158" spans="2:64" s="7" customFormat="1" ht="27" customHeight="1">
      <c r="B158" s="22"/>
      <c r="C158" s="124" t="s">
        <v>255</v>
      </c>
      <c r="D158" s="124" t="s">
        <v>140</v>
      </c>
      <c r="E158" s="125" t="s">
        <v>256</v>
      </c>
      <c r="F158" s="200" t="s">
        <v>257</v>
      </c>
      <c r="G158" s="192"/>
      <c r="H158" s="192"/>
      <c r="I158" s="192"/>
      <c r="J158" s="126" t="s">
        <v>216</v>
      </c>
      <c r="K158" s="127">
        <v>13.5</v>
      </c>
      <c r="L158" s="201"/>
      <c r="M158" s="202"/>
      <c r="N158" s="193">
        <f>ROUND($L$158*$K$158,2)</f>
        <v>0</v>
      </c>
      <c r="O158" s="192"/>
      <c r="P158" s="192"/>
      <c r="Q158" s="192"/>
      <c r="R158" s="23"/>
      <c r="T158" s="128"/>
      <c r="U158" s="29" t="s">
        <v>36</v>
      </c>
      <c r="V158" s="129">
        <v>0.299</v>
      </c>
      <c r="W158" s="129">
        <f>$V$158*$K$158</f>
        <v>4.0365</v>
      </c>
      <c r="X158" s="129">
        <v>0</v>
      </c>
      <c r="Y158" s="129">
        <f>$X$158*$K$158</f>
        <v>0</v>
      </c>
      <c r="Z158" s="129">
        <v>0</v>
      </c>
      <c r="AA158" s="130">
        <f>$Z$158*$K$158</f>
        <v>0</v>
      </c>
      <c r="AR158" s="7" t="s">
        <v>144</v>
      </c>
      <c r="AT158" s="7" t="s">
        <v>140</v>
      </c>
      <c r="AU158" s="7" t="s">
        <v>100</v>
      </c>
      <c r="AY158" s="7" t="s">
        <v>139</v>
      </c>
      <c r="BE158" s="83">
        <f>IF($U$158="základní",$N$158,0)</f>
        <v>0</v>
      </c>
      <c r="BF158" s="83">
        <f>IF($U$158="snížená",$N$158,0)</f>
        <v>0</v>
      </c>
      <c r="BG158" s="83">
        <f>IF($U$158="zákl. přenesená",$N$158,0)</f>
        <v>0</v>
      </c>
      <c r="BH158" s="83">
        <f>IF($U$158="sníž. přenesená",$N$158,0)</f>
        <v>0</v>
      </c>
      <c r="BI158" s="83">
        <f>IF($U$158="nulová",$N$158,0)</f>
        <v>0</v>
      </c>
      <c r="BJ158" s="7" t="s">
        <v>17</v>
      </c>
      <c r="BK158" s="83">
        <f>ROUND($L$158*$K$158,2)</f>
        <v>0</v>
      </c>
      <c r="BL158" s="7" t="s">
        <v>144</v>
      </c>
    </row>
    <row r="159" spans="2:51" s="7" customFormat="1" ht="15.75" customHeight="1">
      <c r="B159" s="131"/>
      <c r="E159" s="132"/>
      <c r="F159" s="203" t="s">
        <v>258</v>
      </c>
      <c r="G159" s="204"/>
      <c r="H159" s="204"/>
      <c r="I159" s="204"/>
      <c r="K159" s="133">
        <v>13.5</v>
      </c>
      <c r="L159" s="151"/>
      <c r="M159" s="151"/>
      <c r="R159" s="134"/>
      <c r="T159" s="135"/>
      <c r="AA159" s="136"/>
      <c r="AT159" s="132" t="s">
        <v>148</v>
      </c>
      <c r="AU159" s="132" t="s">
        <v>100</v>
      </c>
      <c r="AV159" s="132" t="s">
        <v>100</v>
      </c>
      <c r="AW159" s="132" t="s">
        <v>109</v>
      </c>
      <c r="AX159" s="132" t="s">
        <v>17</v>
      </c>
      <c r="AY159" s="132" t="s">
        <v>139</v>
      </c>
    </row>
    <row r="160" spans="2:64" s="7" customFormat="1" ht="27" customHeight="1">
      <c r="B160" s="22"/>
      <c r="C160" s="124" t="s">
        <v>259</v>
      </c>
      <c r="D160" s="124" t="s">
        <v>140</v>
      </c>
      <c r="E160" s="125" t="s">
        <v>260</v>
      </c>
      <c r="F160" s="200" t="s">
        <v>261</v>
      </c>
      <c r="G160" s="192"/>
      <c r="H160" s="192"/>
      <c r="I160" s="192"/>
      <c r="J160" s="126" t="s">
        <v>208</v>
      </c>
      <c r="K160" s="127">
        <v>20</v>
      </c>
      <c r="L160" s="201"/>
      <c r="M160" s="202"/>
      <c r="N160" s="193">
        <f>ROUND($L$160*$K$160,2)</f>
        <v>0</v>
      </c>
      <c r="O160" s="192"/>
      <c r="P160" s="192"/>
      <c r="Q160" s="192"/>
      <c r="R160" s="23"/>
      <c r="T160" s="128"/>
      <c r="U160" s="29" t="s">
        <v>36</v>
      </c>
      <c r="V160" s="129">
        <v>0.087</v>
      </c>
      <c r="W160" s="129">
        <f>$V$160*$K$160</f>
        <v>1.7399999999999998</v>
      </c>
      <c r="X160" s="129">
        <v>0</v>
      </c>
      <c r="Y160" s="129">
        <f>$X$160*$K$160</f>
        <v>0</v>
      </c>
      <c r="Z160" s="129">
        <v>0</v>
      </c>
      <c r="AA160" s="130">
        <f>$Z$160*$K$160</f>
        <v>0</v>
      </c>
      <c r="AR160" s="7" t="s">
        <v>144</v>
      </c>
      <c r="AT160" s="7" t="s">
        <v>140</v>
      </c>
      <c r="AU160" s="7" t="s">
        <v>100</v>
      </c>
      <c r="AY160" s="7" t="s">
        <v>139</v>
      </c>
      <c r="BE160" s="83">
        <f>IF($U$160="základní",$N$160,0)</f>
        <v>0</v>
      </c>
      <c r="BF160" s="83">
        <f>IF($U$160="snížená",$N$160,0)</f>
        <v>0</v>
      </c>
      <c r="BG160" s="83">
        <f>IF($U$160="zákl. přenesená",$N$160,0)</f>
        <v>0</v>
      </c>
      <c r="BH160" s="83">
        <f>IF($U$160="sníž. přenesená",$N$160,0)</f>
        <v>0</v>
      </c>
      <c r="BI160" s="83">
        <f>IF($U$160="nulová",$N$160,0)</f>
        <v>0</v>
      </c>
      <c r="BJ160" s="7" t="s">
        <v>17</v>
      </c>
      <c r="BK160" s="83">
        <f>ROUND($L$160*$K$160,2)</f>
        <v>0</v>
      </c>
      <c r="BL160" s="7" t="s">
        <v>144</v>
      </c>
    </row>
    <row r="161" spans="2:64" s="7" customFormat="1" ht="15.75" customHeight="1">
      <c r="B161" s="22"/>
      <c r="C161" s="143" t="s">
        <v>262</v>
      </c>
      <c r="D161" s="143" t="s">
        <v>162</v>
      </c>
      <c r="E161" s="144" t="s">
        <v>263</v>
      </c>
      <c r="F161" s="208" t="s">
        <v>264</v>
      </c>
      <c r="G161" s="209"/>
      <c r="H161" s="209"/>
      <c r="I161" s="209"/>
      <c r="J161" s="145" t="s">
        <v>265</v>
      </c>
      <c r="K161" s="146">
        <v>0.5</v>
      </c>
      <c r="L161" s="210"/>
      <c r="M161" s="211"/>
      <c r="N161" s="205">
        <f>ROUND($L$161*$K$161,2)</f>
        <v>0</v>
      </c>
      <c r="O161" s="192"/>
      <c r="P161" s="192"/>
      <c r="Q161" s="192"/>
      <c r="R161" s="23"/>
      <c r="T161" s="128"/>
      <c r="U161" s="29" t="s">
        <v>36</v>
      </c>
      <c r="V161" s="129">
        <v>0</v>
      </c>
      <c r="W161" s="129">
        <f>$V$161*$K$161</f>
        <v>0</v>
      </c>
      <c r="X161" s="129">
        <v>0.001</v>
      </c>
      <c r="Y161" s="129">
        <f>$X$161*$K$161</f>
        <v>0.0005</v>
      </c>
      <c r="Z161" s="129">
        <v>0</v>
      </c>
      <c r="AA161" s="130">
        <f>$Z$161*$K$161</f>
        <v>0</v>
      </c>
      <c r="AR161" s="7" t="s">
        <v>165</v>
      </c>
      <c r="AT161" s="7" t="s">
        <v>162</v>
      </c>
      <c r="AU161" s="7" t="s">
        <v>100</v>
      </c>
      <c r="AY161" s="7" t="s">
        <v>139</v>
      </c>
      <c r="BE161" s="83">
        <f>IF($U$161="základní",$N$161,0)</f>
        <v>0</v>
      </c>
      <c r="BF161" s="83">
        <f>IF($U$161="snížená",$N$161,0)</f>
        <v>0</v>
      </c>
      <c r="BG161" s="83">
        <f>IF($U$161="zákl. přenesená",$N$161,0)</f>
        <v>0</v>
      </c>
      <c r="BH161" s="83">
        <f>IF($U$161="sníž. přenesená",$N$161,0)</f>
        <v>0</v>
      </c>
      <c r="BI161" s="83">
        <f>IF($U$161="nulová",$N$161,0)</f>
        <v>0</v>
      </c>
      <c r="BJ161" s="7" t="s">
        <v>17</v>
      </c>
      <c r="BK161" s="83">
        <f>ROUND($L$161*$K$161,2)</f>
        <v>0</v>
      </c>
      <c r="BL161" s="7" t="s">
        <v>144</v>
      </c>
    </row>
    <row r="162" spans="2:64" s="7" customFormat="1" ht="15.75" customHeight="1">
      <c r="B162" s="22"/>
      <c r="C162" s="143" t="s">
        <v>266</v>
      </c>
      <c r="D162" s="143" t="s">
        <v>162</v>
      </c>
      <c r="E162" s="144" t="s">
        <v>267</v>
      </c>
      <c r="F162" s="208" t="s">
        <v>268</v>
      </c>
      <c r="G162" s="209"/>
      <c r="H162" s="209"/>
      <c r="I162" s="209"/>
      <c r="J162" s="145" t="s">
        <v>253</v>
      </c>
      <c r="K162" s="146">
        <v>5.1</v>
      </c>
      <c r="L162" s="210"/>
      <c r="M162" s="211"/>
      <c r="N162" s="205">
        <f>ROUND($L$162*$K$162,2)</f>
        <v>0</v>
      </c>
      <c r="O162" s="192"/>
      <c r="P162" s="192"/>
      <c r="Q162" s="192"/>
      <c r="R162" s="23"/>
      <c r="T162" s="128"/>
      <c r="U162" s="29" t="s">
        <v>36</v>
      </c>
      <c r="V162" s="129">
        <v>0</v>
      </c>
      <c r="W162" s="129">
        <f>$V$162*$K$162</f>
        <v>0</v>
      </c>
      <c r="X162" s="129">
        <v>1</v>
      </c>
      <c r="Y162" s="129">
        <f>$X$162*$K$162</f>
        <v>5.1</v>
      </c>
      <c r="Z162" s="129">
        <v>0</v>
      </c>
      <c r="AA162" s="130">
        <f>$Z$162*$K$162</f>
        <v>0</v>
      </c>
      <c r="AR162" s="7" t="s">
        <v>165</v>
      </c>
      <c r="AT162" s="7" t="s">
        <v>162</v>
      </c>
      <c r="AU162" s="7" t="s">
        <v>100</v>
      </c>
      <c r="AY162" s="7" t="s">
        <v>139</v>
      </c>
      <c r="BE162" s="83">
        <f>IF($U$162="základní",$N$162,0)</f>
        <v>0</v>
      </c>
      <c r="BF162" s="83">
        <f>IF($U$162="snížená",$N$162,0)</f>
        <v>0</v>
      </c>
      <c r="BG162" s="83">
        <f>IF($U$162="zákl. přenesená",$N$162,0)</f>
        <v>0</v>
      </c>
      <c r="BH162" s="83">
        <f>IF($U$162="sníž. přenesená",$N$162,0)</f>
        <v>0</v>
      </c>
      <c r="BI162" s="83">
        <f>IF($U$162="nulová",$N$162,0)</f>
        <v>0</v>
      </c>
      <c r="BJ162" s="7" t="s">
        <v>17</v>
      </c>
      <c r="BK162" s="83">
        <f>ROUND($L$162*$K$162,2)</f>
        <v>0</v>
      </c>
      <c r="BL162" s="7" t="s">
        <v>144</v>
      </c>
    </row>
    <row r="163" spans="2:51" s="7" customFormat="1" ht="15.75" customHeight="1">
      <c r="B163" s="131"/>
      <c r="E163" s="132"/>
      <c r="F163" s="203" t="s">
        <v>269</v>
      </c>
      <c r="G163" s="204"/>
      <c r="H163" s="204"/>
      <c r="I163" s="204"/>
      <c r="K163" s="133">
        <v>5.1</v>
      </c>
      <c r="L163" s="151"/>
      <c r="M163" s="151"/>
      <c r="R163" s="134"/>
      <c r="T163" s="135"/>
      <c r="AA163" s="136"/>
      <c r="AT163" s="132" t="s">
        <v>148</v>
      </c>
      <c r="AU163" s="132" t="s">
        <v>100</v>
      </c>
      <c r="AV163" s="132" t="s">
        <v>100</v>
      </c>
      <c r="AW163" s="132" t="s">
        <v>109</v>
      </c>
      <c r="AX163" s="132" t="s">
        <v>17</v>
      </c>
      <c r="AY163" s="132" t="s">
        <v>139</v>
      </c>
    </row>
    <row r="164" spans="2:64" s="7" customFormat="1" ht="15.75" customHeight="1">
      <c r="B164" s="22"/>
      <c r="C164" s="124" t="s">
        <v>270</v>
      </c>
      <c r="D164" s="124" t="s">
        <v>140</v>
      </c>
      <c r="E164" s="125" t="s">
        <v>271</v>
      </c>
      <c r="F164" s="200" t="s">
        <v>272</v>
      </c>
      <c r="G164" s="192"/>
      <c r="H164" s="192"/>
      <c r="I164" s="192"/>
      <c r="J164" s="126" t="s">
        <v>208</v>
      </c>
      <c r="K164" s="127">
        <v>20</v>
      </c>
      <c r="L164" s="201"/>
      <c r="M164" s="202"/>
      <c r="N164" s="193">
        <f>ROUND($L$164*$K$164,2)</f>
        <v>0</v>
      </c>
      <c r="O164" s="192"/>
      <c r="P164" s="192"/>
      <c r="Q164" s="192"/>
      <c r="R164" s="23"/>
      <c r="T164" s="128"/>
      <c r="U164" s="29" t="s">
        <v>36</v>
      </c>
      <c r="V164" s="129">
        <v>0.128</v>
      </c>
      <c r="W164" s="129">
        <f>$V$164*$K$164</f>
        <v>2.56</v>
      </c>
      <c r="X164" s="129">
        <v>0</v>
      </c>
      <c r="Y164" s="129">
        <f>$X$164*$K$164</f>
        <v>0</v>
      </c>
      <c r="Z164" s="129">
        <v>0</v>
      </c>
      <c r="AA164" s="130">
        <f>$Z$164*$K$164</f>
        <v>0</v>
      </c>
      <c r="AR164" s="7" t="s">
        <v>144</v>
      </c>
      <c r="AT164" s="7" t="s">
        <v>140</v>
      </c>
      <c r="AU164" s="7" t="s">
        <v>100</v>
      </c>
      <c r="AY164" s="7" t="s">
        <v>139</v>
      </c>
      <c r="BE164" s="83">
        <f>IF($U$164="základní",$N$164,0)</f>
        <v>0</v>
      </c>
      <c r="BF164" s="83">
        <f>IF($U$164="snížená",$N$164,0)</f>
        <v>0</v>
      </c>
      <c r="BG164" s="83">
        <f>IF($U$164="zákl. přenesená",$N$164,0)</f>
        <v>0</v>
      </c>
      <c r="BH164" s="83">
        <f>IF($U$164="sníž. přenesená",$N$164,0)</f>
        <v>0</v>
      </c>
      <c r="BI164" s="83">
        <f>IF($U$164="nulová",$N$164,0)</f>
        <v>0</v>
      </c>
      <c r="BJ164" s="7" t="s">
        <v>17</v>
      </c>
      <c r="BK164" s="83">
        <f>ROUND($L$164*$K$164,2)</f>
        <v>0</v>
      </c>
      <c r="BL164" s="7" t="s">
        <v>144</v>
      </c>
    </row>
    <row r="165" spans="2:64" s="7" customFormat="1" ht="27" customHeight="1">
      <c r="B165" s="22"/>
      <c r="C165" s="124" t="s">
        <v>7</v>
      </c>
      <c r="D165" s="124" t="s">
        <v>140</v>
      </c>
      <c r="E165" s="125" t="s">
        <v>273</v>
      </c>
      <c r="F165" s="200" t="s">
        <v>274</v>
      </c>
      <c r="G165" s="192"/>
      <c r="H165" s="192"/>
      <c r="I165" s="192"/>
      <c r="J165" s="126" t="s">
        <v>208</v>
      </c>
      <c r="K165" s="127">
        <v>20</v>
      </c>
      <c r="L165" s="201"/>
      <c r="M165" s="202"/>
      <c r="N165" s="193">
        <f>ROUND($L$165*$K$165,2)</f>
        <v>0</v>
      </c>
      <c r="O165" s="192"/>
      <c r="P165" s="192"/>
      <c r="Q165" s="192"/>
      <c r="R165" s="23"/>
      <c r="T165" s="128"/>
      <c r="U165" s="29" t="s">
        <v>36</v>
      </c>
      <c r="V165" s="129">
        <v>0.263</v>
      </c>
      <c r="W165" s="129">
        <f>$V$165*$K$165</f>
        <v>5.26</v>
      </c>
      <c r="X165" s="129">
        <v>0</v>
      </c>
      <c r="Y165" s="129">
        <f>$X$165*$K$165</f>
        <v>0</v>
      </c>
      <c r="Z165" s="129">
        <v>0</v>
      </c>
      <c r="AA165" s="130">
        <f>$Z$165*$K$165</f>
        <v>0</v>
      </c>
      <c r="AR165" s="7" t="s">
        <v>144</v>
      </c>
      <c r="AT165" s="7" t="s">
        <v>140</v>
      </c>
      <c r="AU165" s="7" t="s">
        <v>100</v>
      </c>
      <c r="AY165" s="7" t="s">
        <v>139</v>
      </c>
      <c r="BE165" s="83">
        <f>IF($U$165="základní",$N$165,0)</f>
        <v>0</v>
      </c>
      <c r="BF165" s="83">
        <f>IF($U$165="snížená",$N$165,0)</f>
        <v>0</v>
      </c>
      <c r="BG165" s="83">
        <f>IF($U$165="zákl. přenesená",$N$165,0)</f>
        <v>0</v>
      </c>
      <c r="BH165" s="83">
        <f>IF($U$165="sníž. přenesená",$N$165,0)</f>
        <v>0</v>
      </c>
      <c r="BI165" s="83">
        <f>IF($U$165="nulová",$N$165,0)</f>
        <v>0</v>
      </c>
      <c r="BJ165" s="7" t="s">
        <v>17</v>
      </c>
      <c r="BK165" s="83">
        <f>ROUND($L$165*$K$165,2)</f>
        <v>0</v>
      </c>
      <c r="BL165" s="7" t="s">
        <v>144</v>
      </c>
    </row>
    <row r="166" spans="2:63" s="114" customFormat="1" ht="30.75" customHeight="1">
      <c r="B166" s="115"/>
      <c r="D166" s="123" t="s">
        <v>198</v>
      </c>
      <c r="L166" s="152"/>
      <c r="M166" s="152"/>
      <c r="N166" s="197">
        <f>$BK$166</f>
        <v>0</v>
      </c>
      <c r="O166" s="196"/>
      <c r="P166" s="196"/>
      <c r="Q166" s="196"/>
      <c r="R166" s="118"/>
      <c r="T166" s="119"/>
      <c r="W166" s="120">
        <f>SUM($W$167:$W$171)</f>
        <v>6.6408</v>
      </c>
      <c r="Y166" s="120">
        <f>SUM($Y$167:$Y$171)</f>
        <v>0.0312</v>
      </c>
      <c r="AA166" s="121">
        <f>SUM($AA$167:$AA$171)</f>
        <v>0</v>
      </c>
      <c r="AR166" s="117" t="s">
        <v>17</v>
      </c>
      <c r="AT166" s="117" t="s">
        <v>70</v>
      </c>
      <c r="AU166" s="117" t="s">
        <v>17</v>
      </c>
      <c r="AY166" s="117" t="s">
        <v>139</v>
      </c>
      <c r="BK166" s="122">
        <f>SUM($BK$167:$BK$171)</f>
        <v>0</v>
      </c>
    </row>
    <row r="167" spans="2:64" s="7" customFormat="1" ht="15.75" customHeight="1">
      <c r="B167" s="22"/>
      <c r="C167" s="124" t="s">
        <v>275</v>
      </c>
      <c r="D167" s="124" t="s">
        <v>140</v>
      </c>
      <c r="E167" s="125" t="s">
        <v>276</v>
      </c>
      <c r="F167" s="200" t="s">
        <v>277</v>
      </c>
      <c r="G167" s="192"/>
      <c r="H167" s="192"/>
      <c r="I167" s="192"/>
      <c r="J167" s="126" t="s">
        <v>216</v>
      </c>
      <c r="K167" s="127">
        <v>0.72</v>
      </c>
      <c r="L167" s="201"/>
      <c r="M167" s="202"/>
      <c r="N167" s="193">
        <f>ROUND($L$167*$K$167,2)</f>
        <v>0</v>
      </c>
      <c r="O167" s="192"/>
      <c r="P167" s="192"/>
      <c r="Q167" s="192"/>
      <c r="R167" s="23"/>
      <c r="T167" s="128"/>
      <c r="U167" s="29" t="s">
        <v>36</v>
      </c>
      <c r="V167" s="129">
        <v>1.89</v>
      </c>
      <c r="W167" s="129">
        <f>$V$167*$K$167</f>
        <v>1.3607999999999998</v>
      </c>
      <c r="X167" s="129">
        <v>0</v>
      </c>
      <c r="Y167" s="129">
        <f>$X$167*$K$167</f>
        <v>0</v>
      </c>
      <c r="Z167" s="129">
        <v>0</v>
      </c>
      <c r="AA167" s="130">
        <f>$Z$167*$K$167</f>
        <v>0</v>
      </c>
      <c r="AR167" s="7" t="s">
        <v>144</v>
      </c>
      <c r="AT167" s="7" t="s">
        <v>140</v>
      </c>
      <c r="AU167" s="7" t="s">
        <v>100</v>
      </c>
      <c r="AY167" s="7" t="s">
        <v>139</v>
      </c>
      <c r="BE167" s="83">
        <f>IF($U$167="základní",$N$167,0)</f>
        <v>0</v>
      </c>
      <c r="BF167" s="83">
        <f>IF($U$167="snížená",$N$167,0)</f>
        <v>0</v>
      </c>
      <c r="BG167" s="83">
        <f>IF($U$167="zákl. přenesená",$N$167,0)</f>
        <v>0</v>
      </c>
      <c r="BH167" s="83">
        <f>IF($U$167="sníž. přenesená",$N$167,0)</f>
        <v>0</v>
      </c>
      <c r="BI167" s="83">
        <f>IF($U$167="nulová",$N$167,0)</f>
        <v>0</v>
      </c>
      <c r="BJ167" s="7" t="s">
        <v>17</v>
      </c>
      <c r="BK167" s="83">
        <f>ROUND($L$167*$K$167,2)</f>
        <v>0</v>
      </c>
      <c r="BL167" s="7" t="s">
        <v>144</v>
      </c>
    </row>
    <row r="168" spans="2:51" s="7" customFormat="1" ht="15.75" customHeight="1">
      <c r="B168" s="131"/>
      <c r="E168" s="132"/>
      <c r="F168" s="203" t="s">
        <v>278</v>
      </c>
      <c r="G168" s="204"/>
      <c r="H168" s="204"/>
      <c r="I168" s="204"/>
      <c r="K168" s="133">
        <v>0.72</v>
      </c>
      <c r="L168" s="151"/>
      <c r="M168" s="151"/>
      <c r="R168" s="134"/>
      <c r="T168" s="135"/>
      <c r="AA168" s="136"/>
      <c r="AT168" s="132" t="s">
        <v>148</v>
      </c>
      <c r="AU168" s="132" t="s">
        <v>100</v>
      </c>
      <c r="AV168" s="132" t="s">
        <v>100</v>
      </c>
      <c r="AW168" s="132" t="s">
        <v>109</v>
      </c>
      <c r="AX168" s="132" t="s">
        <v>17</v>
      </c>
      <c r="AY168" s="132" t="s">
        <v>139</v>
      </c>
    </row>
    <row r="169" spans="2:64" s="7" customFormat="1" ht="27" customHeight="1">
      <c r="B169" s="22"/>
      <c r="C169" s="124" t="s">
        <v>279</v>
      </c>
      <c r="D169" s="124" t="s">
        <v>140</v>
      </c>
      <c r="E169" s="125" t="s">
        <v>280</v>
      </c>
      <c r="F169" s="200" t="s">
        <v>281</v>
      </c>
      <c r="G169" s="192"/>
      <c r="H169" s="192"/>
      <c r="I169" s="192"/>
      <c r="J169" s="126" t="s">
        <v>213</v>
      </c>
      <c r="K169" s="127">
        <v>24</v>
      </c>
      <c r="L169" s="201"/>
      <c r="M169" s="202"/>
      <c r="N169" s="193">
        <f>ROUND($L$169*$K$169,2)</f>
        <v>0</v>
      </c>
      <c r="O169" s="192"/>
      <c r="P169" s="192"/>
      <c r="Q169" s="192"/>
      <c r="R169" s="23"/>
      <c r="T169" s="128"/>
      <c r="U169" s="29" t="s">
        <v>36</v>
      </c>
      <c r="V169" s="129">
        <v>0.17</v>
      </c>
      <c r="W169" s="129">
        <f>$V$169*$K$169</f>
        <v>4.08</v>
      </c>
      <c r="X169" s="129">
        <v>0.00114</v>
      </c>
      <c r="Y169" s="129">
        <f>$X$169*$K$169</f>
        <v>0.02736</v>
      </c>
      <c r="Z169" s="129">
        <v>0</v>
      </c>
      <c r="AA169" s="130">
        <f>$Z$169*$K$169</f>
        <v>0</v>
      </c>
      <c r="AR169" s="7" t="s">
        <v>144</v>
      </c>
      <c r="AT169" s="7" t="s">
        <v>140</v>
      </c>
      <c r="AU169" s="7" t="s">
        <v>100</v>
      </c>
      <c r="AY169" s="7" t="s">
        <v>139</v>
      </c>
      <c r="BE169" s="83">
        <f>IF($U$169="základní",$N$169,0)</f>
        <v>0</v>
      </c>
      <c r="BF169" s="83">
        <f>IF($U$169="snížená",$N$169,0)</f>
        <v>0</v>
      </c>
      <c r="BG169" s="83">
        <f>IF($U$169="zákl. přenesená",$N$169,0)</f>
        <v>0</v>
      </c>
      <c r="BH169" s="83">
        <f>IF($U$169="sníž. přenesená",$N$169,0)</f>
        <v>0</v>
      </c>
      <c r="BI169" s="83">
        <f>IF($U$169="nulová",$N$169,0)</f>
        <v>0</v>
      </c>
      <c r="BJ169" s="7" t="s">
        <v>17</v>
      </c>
      <c r="BK169" s="83">
        <f>ROUND($L$169*$K$169,2)</f>
        <v>0</v>
      </c>
      <c r="BL169" s="7" t="s">
        <v>144</v>
      </c>
    </row>
    <row r="170" spans="2:51" s="7" customFormat="1" ht="15.75" customHeight="1">
      <c r="B170" s="131"/>
      <c r="E170" s="132"/>
      <c r="F170" s="203" t="s">
        <v>282</v>
      </c>
      <c r="G170" s="204"/>
      <c r="H170" s="204"/>
      <c r="I170" s="204"/>
      <c r="K170" s="133">
        <v>24</v>
      </c>
      <c r="L170" s="151"/>
      <c r="M170" s="151"/>
      <c r="R170" s="134"/>
      <c r="T170" s="135"/>
      <c r="AA170" s="136"/>
      <c r="AT170" s="132" t="s">
        <v>148</v>
      </c>
      <c r="AU170" s="132" t="s">
        <v>100</v>
      </c>
      <c r="AV170" s="132" t="s">
        <v>100</v>
      </c>
      <c r="AW170" s="132" t="s">
        <v>109</v>
      </c>
      <c r="AX170" s="132" t="s">
        <v>17</v>
      </c>
      <c r="AY170" s="132" t="s">
        <v>139</v>
      </c>
    </row>
    <row r="171" spans="2:64" s="7" customFormat="1" ht="27" customHeight="1">
      <c r="B171" s="22"/>
      <c r="C171" s="124" t="s">
        <v>283</v>
      </c>
      <c r="D171" s="124" t="s">
        <v>140</v>
      </c>
      <c r="E171" s="125" t="s">
        <v>284</v>
      </c>
      <c r="F171" s="200" t="s">
        <v>285</v>
      </c>
      <c r="G171" s="192"/>
      <c r="H171" s="192"/>
      <c r="I171" s="192"/>
      <c r="J171" s="126" t="s">
        <v>213</v>
      </c>
      <c r="K171" s="127">
        <v>24</v>
      </c>
      <c r="L171" s="201"/>
      <c r="M171" s="202"/>
      <c r="N171" s="193">
        <f>ROUND($L$171*$K$171,2)</f>
        <v>0</v>
      </c>
      <c r="O171" s="192"/>
      <c r="P171" s="192"/>
      <c r="Q171" s="192"/>
      <c r="R171" s="23"/>
      <c r="T171" s="128"/>
      <c r="U171" s="29" t="s">
        <v>36</v>
      </c>
      <c r="V171" s="129">
        <v>0.05</v>
      </c>
      <c r="W171" s="129">
        <f>$V$171*$K$171</f>
        <v>1.2000000000000002</v>
      </c>
      <c r="X171" s="129">
        <v>0.00016</v>
      </c>
      <c r="Y171" s="129">
        <f>$X$171*$K$171</f>
        <v>0.0038400000000000005</v>
      </c>
      <c r="Z171" s="129">
        <v>0</v>
      </c>
      <c r="AA171" s="130">
        <f>$Z$171*$K$171</f>
        <v>0</v>
      </c>
      <c r="AR171" s="7" t="s">
        <v>144</v>
      </c>
      <c r="AT171" s="7" t="s">
        <v>140</v>
      </c>
      <c r="AU171" s="7" t="s">
        <v>100</v>
      </c>
      <c r="AY171" s="7" t="s">
        <v>139</v>
      </c>
      <c r="BE171" s="83">
        <f>IF($U$171="základní",$N$171,0)</f>
        <v>0</v>
      </c>
      <c r="BF171" s="83">
        <f>IF($U$171="snížená",$N$171,0)</f>
        <v>0</v>
      </c>
      <c r="BG171" s="83">
        <f>IF($U$171="zákl. přenesená",$N$171,0)</f>
        <v>0</v>
      </c>
      <c r="BH171" s="83">
        <f>IF($U$171="sníž. přenesená",$N$171,0)</f>
        <v>0</v>
      </c>
      <c r="BI171" s="83">
        <f>IF($U$171="nulová",$N$171,0)</f>
        <v>0</v>
      </c>
      <c r="BJ171" s="7" t="s">
        <v>17</v>
      </c>
      <c r="BK171" s="83">
        <f>ROUND($L$171*$K$171,2)</f>
        <v>0</v>
      </c>
      <c r="BL171" s="7" t="s">
        <v>144</v>
      </c>
    </row>
    <row r="172" spans="2:63" s="114" customFormat="1" ht="30.75" customHeight="1">
      <c r="B172" s="115"/>
      <c r="D172" s="123" t="s">
        <v>199</v>
      </c>
      <c r="L172" s="152"/>
      <c r="M172" s="152"/>
      <c r="N172" s="197">
        <f>$BK$172</f>
        <v>0</v>
      </c>
      <c r="O172" s="196"/>
      <c r="P172" s="196"/>
      <c r="Q172" s="196"/>
      <c r="R172" s="118"/>
      <c r="T172" s="119"/>
      <c r="W172" s="120">
        <f>SUM($W$173:$W$196)</f>
        <v>164.96996299999998</v>
      </c>
      <c r="Y172" s="120">
        <f>SUM($Y$173:$Y$196)</f>
        <v>2.2639255</v>
      </c>
      <c r="AA172" s="121">
        <f>SUM($AA$173:$AA$196)</f>
        <v>0</v>
      </c>
      <c r="AR172" s="117" t="s">
        <v>17</v>
      </c>
      <c r="AT172" s="117" t="s">
        <v>70</v>
      </c>
      <c r="AU172" s="117" t="s">
        <v>17</v>
      </c>
      <c r="AY172" s="117" t="s">
        <v>139</v>
      </c>
      <c r="BK172" s="122">
        <f>SUM($BK$173:$BK$196)</f>
        <v>0</v>
      </c>
    </row>
    <row r="173" spans="2:64" s="7" customFormat="1" ht="15.75" customHeight="1">
      <c r="B173" s="22"/>
      <c r="C173" s="124" t="s">
        <v>286</v>
      </c>
      <c r="D173" s="124" t="s">
        <v>140</v>
      </c>
      <c r="E173" s="125" t="s">
        <v>287</v>
      </c>
      <c r="F173" s="200" t="s">
        <v>288</v>
      </c>
      <c r="G173" s="192"/>
      <c r="H173" s="192"/>
      <c r="I173" s="192"/>
      <c r="J173" s="126" t="s">
        <v>216</v>
      </c>
      <c r="K173" s="127">
        <v>7.361</v>
      </c>
      <c r="L173" s="201"/>
      <c r="M173" s="202"/>
      <c r="N173" s="193">
        <f>ROUND($L$173*$K$173,2)</f>
        <v>0</v>
      </c>
      <c r="O173" s="192"/>
      <c r="P173" s="192"/>
      <c r="Q173" s="192"/>
      <c r="R173" s="23"/>
      <c r="T173" s="128"/>
      <c r="U173" s="29" t="s">
        <v>36</v>
      </c>
      <c r="V173" s="129">
        <v>2.979</v>
      </c>
      <c r="W173" s="129">
        <f>$V$173*$K$173</f>
        <v>21.928419</v>
      </c>
      <c r="X173" s="129">
        <v>0</v>
      </c>
      <c r="Y173" s="129">
        <f>$X$173*$K$173</f>
        <v>0</v>
      </c>
      <c r="Z173" s="129">
        <v>0</v>
      </c>
      <c r="AA173" s="130">
        <f>$Z$173*$K$173</f>
        <v>0</v>
      </c>
      <c r="AR173" s="7" t="s">
        <v>144</v>
      </c>
      <c r="AT173" s="7" t="s">
        <v>140</v>
      </c>
      <c r="AU173" s="7" t="s">
        <v>100</v>
      </c>
      <c r="AY173" s="7" t="s">
        <v>139</v>
      </c>
      <c r="BE173" s="83">
        <f>IF($U$173="základní",$N$173,0)</f>
        <v>0</v>
      </c>
      <c r="BF173" s="83">
        <f>IF($U$173="snížená",$N$173,0)</f>
        <v>0</v>
      </c>
      <c r="BG173" s="83">
        <f>IF($U$173="zákl. přenesená",$N$173,0)</f>
        <v>0</v>
      </c>
      <c r="BH173" s="83">
        <f>IF($U$173="sníž. přenesená",$N$173,0)</f>
        <v>0</v>
      </c>
      <c r="BI173" s="83">
        <f>IF($U$173="nulová",$N$173,0)</f>
        <v>0</v>
      </c>
      <c r="BJ173" s="7" t="s">
        <v>17</v>
      </c>
      <c r="BK173" s="83">
        <f>ROUND($L$173*$K$173,2)</f>
        <v>0</v>
      </c>
      <c r="BL173" s="7" t="s">
        <v>144</v>
      </c>
    </row>
    <row r="174" spans="2:51" s="7" customFormat="1" ht="15.75" customHeight="1">
      <c r="B174" s="131"/>
      <c r="E174" s="132"/>
      <c r="F174" s="203" t="s">
        <v>289</v>
      </c>
      <c r="G174" s="204"/>
      <c r="H174" s="204"/>
      <c r="I174" s="204"/>
      <c r="K174" s="133">
        <v>7.361</v>
      </c>
      <c r="L174" s="151"/>
      <c r="M174" s="151"/>
      <c r="R174" s="134"/>
      <c r="T174" s="135"/>
      <c r="AA174" s="136"/>
      <c r="AT174" s="132" t="s">
        <v>148</v>
      </c>
      <c r="AU174" s="132" t="s">
        <v>100</v>
      </c>
      <c r="AV174" s="132" t="s">
        <v>100</v>
      </c>
      <c r="AW174" s="132" t="s">
        <v>109</v>
      </c>
      <c r="AX174" s="132" t="s">
        <v>17</v>
      </c>
      <c r="AY174" s="132" t="s">
        <v>139</v>
      </c>
    </row>
    <row r="175" spans="2:64" s="7" customFormat="1" ht="15.75" customHeight="1">
      <c r="B175" s="22"/>
      <c r="C175" s="124" t="s">
        <v>290</v>
      </c>
      <c r="D175" s="124" t="s">
        <v>140</v>
      </c>
      <c r="E175" s="125" t="s">
        <v>291</v>
      </c>
      <c r="F175" s="200" t="s">
        <v>292</v>
      </c>
      <c r="G175" s="192"/>
      <c r="H175" s="192"/>
      <c r="I175" s="192"/>
      <c r="J175" s="126" t="s">
        <v>208</v>
      </c>
      <c r="K175" s="127">
        <v>14.078</v>
      </c>
      <c r="L175" s="201"/>
      <c r="M175" s="202"/>
      <c r="N175" s="193">
        <f>ROUND($L$175*$K$175,2)</f>
        <v>0</v>
      </c>
      <c r="O175" s="192"/>
      <c r="P175" s="192"/>
      <c r="Q175" s="192"/>
      <c r="R175" s="23"/>
      <c r="T175" s="128"/>
      <c r="U175" s="29" t="s">
        <v>36</v>
      </c>
      <c r="V175" s="129">
        <v>3.14</v>
      </c>
      <c r="W175" s="129">
        <f>$V$175*$K$175</f>
        <v>44.20492</v>
      </c>
      <c r="X175" s="129">
        <v>0.04174</v>
      </c>
      <c r="Y175" s="129">
        <f>$X$175*$K$175</f>
        <v>0.58761572</v>
      </c>
      <c r="Z175" s="129">
        <v>0</v>
      </c>
      <c r="AA175" s="130">
        <f>$Z$175*$K$175</f>
        <v>0</v>
      </c>
      <c r="AR175" s="7" t="s">
        <v>144</v>
      </c>
      <c r="AT175" s="7" t="s">
        <v>140</v>
      </c>
      <c r="AU175" s="7" t="s">
        <v>100</v>
      </c>
      <c r="AY175" s="7" t="s">
        <v>139</v>
      </c>
      <c r="BE175" s="83">
        <f>IF($U$175="základní",$N$175,0)</f>
        <v>0</v>
      </c>
      <c r="BF175" s="83">
        <f>IF($U$175="snížená",$N$175,0)</f>
        <v>0</v>
      </c>
      <c r="BG175" s="83">
        <f>IF($U$175="zákl. přenesená",$N$175,0)</f>
        <v>0</v>
      </c>
      <c r="BH175" s="83">
        <f>IF($U$175="sníž. přenesená",$N$175,0)</f>
        <v>0</v>
      </c>
      <c r="BI175" s="83">
        <f>IF($U$175="nulová",$N$175,0)</f>
        <v>0</v>
      </c>
      <c r="BJ175" s="7" t="s">
        <v>17</v>
      </c>
      <c r="BK175" s="83">
        <f>ROUND($L$175*$K$175,2)</f>
        <v>0</v>
      </c>
      <c r="BL175" s="7" t="s">
        <v>144</v>
      </c>
    </row>
    <row r="176" spans="2:51" s="7" customFormat="1" ht="27" customHeight="1">
      <c r="B176" s="131"/>
      <c r="E176" s="132"/>
      <c r="F176" s="203" t="s">
        <v>293</v>
      </c>
      <c r="G176" s="204"/>
      <c r="H176" s="204"/>
      <c r="I176" s="204"/>
      <c r="K176" s="133">
        <v>14.078</v>
      </c>
      <c r="L176" s="151"/>
      <c r="M176" s="151"/>
      <c r="R176" s="134"/>
      <c r="T176" s="135"/>
      <c r="AA176" s="136"/>
      <c r="AT176" s="132" t="s">
        <v>148</v>
      </c>
      <c r="AU176" s="132" t="s">
        <v>100</v>
      </c>
      <c r="AV176" s="132" t="s">
        <v>100</v>
      </c>
      <c r="AW176" s="132" t="s">
        <v>109</v>
      </c>
      <c r="AX176" s="132" t="s">
        <v>17</v>
      </c>
      <c r="AY176" s="132" t="s">
        <v>139</v>
      </c>
    </row>
    <row r="177" spans="2:64" s="7" customFormat="1" ht="15.75" customHeight="1">
      <c r="B177" s="22"/>
      <c r="C177" s="124" t="s">
        <v>294</v>
      </c>
      <c r="D177" s="124" t="s">
        <v>140</v>
      </c>
      <c r="E177" s="125" t="s">
        <v>295</v>
      </c>
      <c r="F177" s="200" t="s">
        <v>296</v>
      </c>
      <c r="G177" s="192"/>
      <c r="H177" s="192"/>
      <c r="I177" s="192"/>
      <c r="J177" s="126" t="s">
        <v>208</v>
      </c>
      <c r="K177" s="127">
        <v>14.078</v>
      </c>
      <c r="L177" s="201"/>
      <c r="M177" s="202"/>
      <c r="N177" s="193">
        <f>ROUND($L$177*$K$177,2)</f>
        <v>0</v>
      </c>
      <c r="O177" s="192"/>
      <c r="P177" s="192"/>
      <c r="Q177" s="192"/>
      <c r="R177" s="23"/>
      <c r="T177" s="128"/>
      <c r="U177" s="29" t="s">
        <v>36</v>
      </c>
      <c r="V177" s="129">
        <v>0.45</v>
      </c>
      <c r="W177" s="129">
        <f>$V$177*$K$177</f>
        <v>6.3351</v>
      </c>
      <c r="X177" s="129">
        <v>2E-05</v>
      </c>
      <c r="Y177" s="129">
        <f>$X$177*$K$177</f>
        <v>0.00028156000000000004</v>
      </c>
      <c r="Z177" s="129">
        <v>0</v>
      </c>
      <c r="AA177" s="130">
        <f>$Z$177*$K$177</f>
        <v>0</v>
      </c>
      <c r="AR177" s="7" t="s">
        <v>144</v>
      </c>
      <c r="AT177" s="7" t="s">
        <v>140</v>
      </c>
      <c r="AU177" s="7" t="s">
        <v>100</v>
      </c>
      <c r="AY177" s="7" t="s">
        <v>139</v>
      </c>
      <c r="BE177" s="83">
        <f>IF($U$177="základní",$N$177,0)</f>
        <v>0</v>
      </c>
      <c r="BF177" s="83">
        <f>IF($U$177="snížená",$N$177,0)</f>
        <v>0</v>
      </c>
      <c r="BG177" s="83">
        <f>IF($U$177="zákl. přenesená",$N$177,0)</f>
        <v>0</v>
      </c>
      <c r="BH177" s="83">
        <f>IF($U$177="sníž. přenesená",$N$177,0)</f>
        <v>0</v>
      </c>
      <c r="BI177" s="83">
        <f>IF($U$177="nulová",$N$177,0)</f>
        <v>0</v>
      </c>
      <c r="BJ177" s="7" t="s">
        <v>17</v>
      </c>
      <c r="BK177" s="83">
        <f>ROUND($L$177*$K$177,2)</f>
        <v>0</v>
      </c>
      <c r="BL177" s="7" t="s">
        <v>144</v>
      </c>
    </row>
    <row r="178" spans="2:64" s="7" customFormat="1" ht="15.75" customHeight="1">
      <c r="B178" s="22"/>
      <c r="C178" s="124" t="s">
        <v>297</v>
      </c>
      <c r="D178" s="124" t="s">
        <v>140</v>
      </c>
      <c r="E178" s="125" t="s">
        <v>298</v>
      </c>
      <c r="F178" s="200" t="s">
        <v>299</v>
      </c>
      <c r="G178" s="192"/>
      <c r="H178" s="192"/>
      <c r="I178" s="192"/>
      <c r="J178" s="126" t="s">
        <v>253</v>
      </c>
      <c r="K178" s="127">
        <v>0.11</v>
      </c>
      <c r="L178" s="201"/>
      <c r="M178" s="202"/>
      <c r="N178" s="193">
        <f>ROUND($L$178*$K$178,2)</f>
        <v>0</v>
      </c>
      <c r="O178" s="192"/>
      <c r="P178" s="192"/>
      <c r="Q178" s="192"/>
      <c r="R178" s="23"/>
      <c r="T178" s="128"/>
      <c r="U178" s="29" t="s">
        <v>36</v>
      </c>
      <c r="V178" s="129">
        <v>47.35</v>
      </c>
      <c r="W178" s="129">
        <f>$V$178*$K$178</f>
        <v>5.2085</v>
      </c>
      <c r="X178" s="129">
        <v>1.04877</v>
      </c>
      <c r="Y178" s="129">
        <f>$X$178*$K$178</f>
        <v>0.1153647</v>
      </c>
      <c r="Z178" s="129">
        <v>0</v>
      </c>
      <c r="AA178" s="130">
        <f>$Z$178*$K$178</f>
        <v>0</v>
      </c>
      <c r="AR178" s="7" t="s">
        <v>144</v>
      </c>
      <c r="AT178" s="7" t="s">
        <v>140</v>
      </c>
      <c r="AU178" s="7" t="s">
        <v>100</v>
      </c>
      <c r="AY178" s="7" t="s">
        <v>139</v>
      </c>
      <c r="BE178" s="83">
        <f>IF($U$178="základní",$N$178,0)</f>
        <v>0</v>
      </c>
      <c r="BF178" s="83">
        <f>IF($U$178="snížená",$N$178,0)</f>
        <v>0</v>
      </c>
      <c r="BG178" s="83">
        <f>IF($U$178="zákl. přenesená",$N$178,0)</f>
        <v>0</v>
      </c>
      <c r="BH178" s="83">
        <f>IF($U$178="sníž. přenesená",$N$178,0)</f>
        <v>0</v>
      </c>
      <c r="BI178" s="83">
        <f>IF($U$178="nulová",$N$178,0)</f>
        <v>0</v>
      </c>
      <c r="BJ178" s="7" t="s">
        <v>17</v>
      </c>
      <c r="BK178" s="83">
        <f>ROUND($L$178*$K$178,2)</f>
        <v>0</v>
      </c>
      <c r="BL178" s="7" t="s">
        <v>144</v>
      </c>
    </row>
    <row r="179" spans="2:51" s="7" customFormat="1" ht="15.75" customHeight="1">
      <c r="B179" s="131"/>
      <c r="E179" s="132"/>
      <c r="F179" s="203" t="s">
        <v>300</v>
      </c>
      <c r="G179" s="204"/>
      <c r="H179" s="204"/>
      <c r="I179" s="204"/>
      <c r="K179" s="133">
        <v>0.11</v>
      </c>
      <c r="L179" s="151"/>
      <c r="M179" s="151"/>
      <c r="R179" s="134"/>
      <c r="T179" s="135"/>
      <c r="AA179" s="136"/>
      <c r="AT179" s="132" t="s">
        <v>148</v>
      </c>
      <c r="AU179" s="132" t="s">
        <v>100</v>
      </c>
      <c r="AV179" s="132" t="s">
        <v>100</v>
      </c>
      <c r="AW179" s="132" t="s">
        <v>109</v>
      </c>
      <c r="AX179" s="132" t="s">
        <v>17</v>
      </c>
      <c r="AY179" s="132" t="s">
        <v>139</v>
      </c>
    </row>
    <row r="180" spans="2:64" s="7" customFormat="1" ht="27" customHeight="1">
      <c r="B180" s="22"/>
      <c r="C180" s="124" t="s">
        <v>301</v>
      </c>
      <c r="D180" s="124" t="s">
        <v>140</v>
      </c>
      <c r="E180" s="125" t="s">
        <v>302</v>
      </c>
      <c r="F180" s="200" t="s">
        <v>303</v>
      </c>
      <c r="G180" s="192"/>
      <c r="H180" s="192"/>
      <c r="I180" s="192"/>
      <c r="J180" s="126" t="s">
        <v>216</v>
      </c>
      <c r="K180" s="127">
        <v>1.8</v>
      </c>
      <c r="L180" s="201"/>
      <c r="M180" s="202"/>
      <c r="N180" s="193">
        <f>ROUND($L$180*$K$180,2)</f>
        <v>0</v>
      </c>
      <c r="O180" s="192"/>
      <c r="P180" s="192"/>
      <c r="Q180" s="192"/>
      <c r="R180" s="23"/>
      <c r="T180" s="128"/>
      <c r="U180" s="29" t="s">
        <v>36</v>
      </c>
      <c r="V180" s="129">
        <v>3.899</v>
      </c>
      <c r="W180" s="129">
        <f>$V$180*$K$180</f>
        <v>7.0182</v>
      </c>
      <c r="X180" s="129">
        <v>0</v>
      </c>
      <c r="Y180" s="129">
        <f>$X$180*$K$180</f>
        <v>0</v>
      </c>
      <c r="Z180" s="129">
        <v>0</v>
      </c>
      <c r="AA180" s="130">
        <f>$Z$180*$K$180</f>
        <v>0</v>
      </c>
      <c r="AR180" s="7" t="s">
        <v>144</v>
      </c>
      <c r="AT180" s="7" t="s">
        <v>140</v>
      </c>
      <c r="AU180" s="7" t="s">
        <v>100</v>
      </c>
      <c r="AY180" s="7" t="s">
        <v>139</v>
      </c>
      <c r="BE180" s="83">
        <f>IF($U$180="základní",$N$180,0)</f>
        <v>0</v>
      </c>
      <c r="BF180" s="83">
        <f>IF($U$180="snížená",$N$180,0)</f>
        <v>0</v>
      </c>
      <c r="BG180" s="83">
        <f>IF($U$180="zákl. přenesená",$N$180,0)</f>
        <v>0</v>
      </c>
      <c r="BH180" s="83">
        <f>IF($U$180="sníž. přenesená",$N$180,0)</f>
        <v>0</v>
      </c>
      <c r="BI180" s="83">
        <f>IF($U$180="nulová",$N$180,0)</f>
        <v>0</v>
      </c>
      <c r="BJ180" s="7" t="s">
        <v>17</v>
      </c>
      <c r="BK180" s="83">
        <f>ROUND($L$180*$K$180,2)</f>
        <v>0</v>
      </c>
      <c r="BL180" s="7" t="s">
        <v>144</v>
      </c>
    </row>
    <row r="181" spans="2:51" s="7" customFormat="1" ht="27" customHeight="1">
      <c r="B181" s="131"/>
      <c r="E181" s="132"/>
      <c r="F181" s="203" t="s">
        <v>304</v>
      </c>
      <c r="G181" s="204"/>
      <c r="H181" s="204"/>
      <c r="I181" s="204"/>
      <c r="K181" s="133">
        <v>1.8</v>
      </c>
      <c r="L181" s="151"/>
      <c r="M181" s="151"/>
      <c r="R181" s="134"/>
      <c r="T181" s="135"/>
      <c r="AA181" s="136"/>
      <c r="AT181" s="132" t="s">
        <v>148</v>
      </c>
      <c r="AU181" s="132" t="s">
        <v>100</v>
      </c>
      <c r="AV181" s="132" t="s">
        <v>100</v>
      </c>
      <c r="AW181" s="132" t="s">
        <v>109</v>
      </c>
      <c r="AX181" s="132" t="s">
        <v>17</v>
      </c>
      <c r="AY181" s="132" t="s">
        <v>139</v>
      </c>
    </row>
    <row r="182" spans="2:64" s="7" customFormat="1" ht="15.75" customHeight="1">
      <c r="B182" s="22"/>
      <c r="C182" s="124" t="s">
        <v>305</v>
      </c>
      <c r="D182" s="124" t="s">
        <v>140</v>
      </c>
      <c r="E182" s="125" t="s">
        <v>306</v>
      </c>
      <c r="F182" s="200" t="s">
        <v>307</v>
      </c>
      <c r="G182" s="192"/>
      <c r="H182" s="192"/>
      <c r="I182" s="192"/>
      <c r="J182" s="126" t="s">
        <v>216</v>
      </c>
      <c r="K182" s="127">
        <v>7.366</v>
      </c>
      <c r="L182" s="201"/>
      <c r="M182" s="202"/>
      <c r="N182" s="193">
        <f>ROUND($L$182*$K$182,2)</f>
        <v>0</v>
      </c>
      <c r="O182" s="192"/>
      <c r="P182" s="192"/>
      <c r="Q182" s="192"/>
      <c r="R182" s="23"/>
      <c r="T182" s="128"/>
      <c r="U182" s="29" t="s">
        <v>36</v>
      </c>
      <c r="V182" s="129">
        <v>0.938</v>
      </c>
      <c r="W182" s="129">
        <f>$V$182*$K$182</f>
        <v>6.909307999999999</v>
      </c>
      <c r="X182" s="129">
        <v>0</v>
      </c>
      <c r="Y182" s="129">
        <f>$X$182*$K$182</f>
        <v>0</v>
      </c>
      <c r="Z182" s="129">
        <v>0</v>
      </c>
      <c r="AA182" s="130">
        <f>$Z$182*$K$182</f>
        <v>0</v>
      </c>
      <c r="AR182" s="7" t="s">
        <v>144</v>
      </c>
      <c r="AT182" s="7" t="s">
        <v>140</v>
      </c>
      <c r="AU182" s="7" t="s">
        <v>100</v>
      </c>
      <c r="AY182" s="7" t="s">
        <v>139</v>
      </c>
      <c r="BE182" s="83">
        <f>IF($U$182="základní",$N$182,0)</f>
        <v>0</v>
      </c>
      <c r="BF182" s="83">
        <f>IF($U$182="snížená",$N$182,0)</f>
        <v>0</v>
      </c>
      <c r="BG182" s="83">
        <f>IF($U$182="zákl. přenesená",$N$182,0)</f>
        <v>0</v>
      </c>
      <c r="BH182" s="83">
        <f>IF($U$182="sníž. přenesená",$N$182,0)</f>
        <v>0</v>
      </c>
      <c r="BI182" s="83">
        <f>IF($U$182="nulová",$N$182,0)</f>
        <v>0</v>
      </c>
      <c r="BJ182" s="7" t="s">
        <v>17</v>
      </c>
      <c r="BK182" s="83">
        <f>ROUND($L$182*$K$182,2)</f>
        <v>0</v>
      </c>
      <c r="BL182" s="7" t="s">
        <v>144</v>
      </c>
    </row>
    <row r="183" spans="2:51" s="7" customFormat="1" ht="15.75" customHeight="1">
      <c r="B183" s="131"/>
      <c r="E183" s="132"/>
      <c r="F183" s="203" t="s">
        <v>308</v>
      </c>
      <c r="G183" s="204"/>
      <c r="H183" s="204"/>
      <c r="I183" s="204"/>
      <c r="K183" s="133">
        <v>7.366</v>
      </c>
      <c r="L183" s="151"/>
      <c r="M183" s="151"/>
      <c r="R183" s="134"/>
      <c r="T183" s="135"/>
      <c r="AA183" s="136"/>
      <c r="AT183" s="132" t="s">
        <v>148</v>
      </c>
      <c r="AU183" s="132" t="s">
        <v>100</v>
      </c>
      <c r="AV183" s="132" t="s">
        <v>100</v>
      </c>
      <c r="AW183" s="132" t="s">
        <v>109</v>
      </c>
      <c r="AX183" s="132" t="s">
        <v>17</v>
      </c>
      <c r="AY183" s="132" t="s">
        <v>139</v>
      </c>
    </row>
    <row r="184" spans="2:64" s="7" customFormat="1" ht="27" customHeight="1">
      <c r="B184" s="22"/>
      <c r="C184" s="124" t="s">
        <v>309</v>
      </c>
      <c r="D184" s="124" t="s">
        <v>140</v>
      </c>
      <c r="E184" s="125" t="s">
        <v>310</v>
      </c>
      <c r="F184" s="200" t="s">
        <v>311</v>
      </c>
      <c r="G184" s="192"/>
      <c r="H184" s="192"/>
      <c r="I184" s="192"/>
      <c r="J184" s="126" t="s">
        <v>208</v>
      </c>
      <c r="K184" s="127">
        <v>42.296</v>
      </c>
      <c r="L184" s="201"/>
      <c r="M184" s="202"/>
      <c r="N184" s="193">
        <f>ROUND($L$184*$K$184,2)</f>
        <v>0</v>
      </c>
      <c r="O184" s="192"/>
      <c r="P184" s="192"/>
      <c r="Q184" s="192"/>
      <c r="R184" s="23"/>
      <c r="T184" s="128"/>
      <c r="U184" s="29" t="s">
        <v>36</v>
      </c>
      <c r="V184" s="129">
        <v>0.416</v>
      </c>
      <c r="W184" s="129">
        <f>$V$184*$K$184</f>
        <v>17.595136</v>
      </c>
      <c r="X184" s="129">
        <v>0.00182</v>
      </c>
      <c r="Y184" s="129">
        <f>$X$184*$K$184</f>
        <v>0.07697872</v>
      </c>
      <c r="Z184" s="129">
        <v>0</v>
      </c>
      <c r="AA184" s="130">
        <f>$Z$184*$K$184</f>
        <v>0</v>
      </c>
      <c r="AR184" s="7" t="s">
        <v>144</v>
      </c>
      <c r="AT184" s="7" t="s">
        <v>140</v>
      </c>
      <c r="AU184" s="7" t="s">
        <v>100</v>
      </c>
      <c r="AY184" s="7" t="s">
        <v>139</v>
      </c>
      <c r="BE184" s="83">
        <f>IF($U$184="základní",$N$184,0)</f>
        <v>0</v>
      </c>
      <c r="BF184" s="83">
        <f>IF($U$184="snížená",$N$184,0)</f>
        <v>0</v>
      </c>
      <c r="BG184" s="83">
        <f>IF($U$184="zákl. přenesená",$N$184,0)</f>
        <v>0</v>
      </c>
      <c r="BH184" s="83">
        <f>IF($U$184="sníž. přenesená",$N$184,0)</f>
        <v>0</v>
      </c>
      <c r="BI184" s="83">
        <f>IF($U$184="nulová",$N$184,0)</f>
        <v>0</v>
      </c>
      <c r="BJ184" s="7" t="s">
        <v>17</v>
      </c>
      <c r="BK184" s="83">
        <f>ROUND($L$184*$K$184,2)</f>
        <v>0</v>
      </c>
      <c r="BL184" s="7" t="s">
        <v>144</v>
      </c>
    </row>
    <row r="185" spans="2:51" s="7" customFormat="1" ht="15.75" customHeight="1">
      <c r="B185" s="131"/>
      <c r="E185" s="132"/>
      <c r="F185" s="203" t="s">
        <v>312</v>
      </c>
      <c r="G185" s="204"/>
      <c r="H185" s="204"/>
      <c r="I185" s="204"/>
      <c r="K185" s="133">
        <v>42.296</v>
      </c>
      <c r="L185" s="151"/>
      <c r="M185" s="151"/>
      <c r="R185" s="134"/>
      <c r="T185" s="135"/>
      <c r="AA185" s="136"/>
      <c r="AT185" s="132" t="s">
        <v>148</v>
      </c>
      <c r="AU185" s="132" t="s">
        <v>100</v>
      </c>
      <c r="AV185" s="132" t="s">
        <v>100</v>
      </c>
      <c r="AW185" s="132" t="s">
        <v>109</v>
      </c>
      <c r="AX185" s="132" t="s">
        <v>17</v>
      </c>
      <c r="AY185" s="132" t="s">
        <v>139</v>
      </c>
    </row>
    <row r="186" spans="2:64" s="7" customFormat="1" ht="27" customHeight="1">
      <c r="B186" s="22"/>
      <c r="C186" s="124" t="s">
        <v>313</v>
      </c>
      <c r="D186" s="124" t="s">
        <v>140</v>
      </c>
      <c r="E186" s="125" t="s">
        <v>314</v>
      </c>
      <c r="F186" s="200" t="s">
        <v>315</v>
      </c>
      <c r="G186" s="192"/>
      <c r="H186" s="192"/>
      <c r="I186" s="192"/>
      <c r="J186" s="126" t="s">
        <v>208</v>
      </c>
      <c r="K186" s="127">
        <v>42.296</v>
      </c>
      <c r="L186" s="201"/>
      <c r="M186" s="202"/>
      <c r="N186" s="193">
        <f>ROUND($L$186*$K$186,2)</f>
        <v>0</v>
      </c>
      <c r="O186" s="192"/>
      <c r="P186" s="192"/>
      <c r="Q186" s="192"/>
      <c r="R186" s="23"/>
      <c r="T186" s="128"/>
      <c r="U186" s="29" t="s">
        <v>36</v>
      </c>
      <c r="V186" s="129">
        <v>0.192</v>
      </c>
      <c r="W186" s="129">
        <f>$V$186*$K$186</f>
        <v>8.120832</v>
      </c>
      <c r="X186" s="129">
        <v>4E-05</v>
      </c>
      <c r="Y186" s="129">
        <f>$X$186*$K$186</f>
        <v>0.00169184</v>
      </c>
      <c r="Z186" s="129">
        <v>0</v>
      </c>
      <c r="AA186" s="130">
        <f>$Z$186*$K$186</f>
        <v>0</v>
      </c>
      <c r="AR186" s="7" t="s">
        <v>144</v>
      </c>
      <c r="AT186" s="7" t="s">
        <v>140</v>
      </c>
      <c r="AU186" s="7" t="s">
        <v>100</v>
      </c>
      <c r="AY186" s="7" t="s">
        <v>139</v>
      </c>
      <c r="BE186" s="83">
        <f>IF($U$186="základní",$N$186,0)</f>
        <v>0</v>
      </c>
      <c r="BF186" s="83">
        <f>IF($U$186="snížená",$N$186,0)</f>
        <v>0</v>
      </c>
      <c r="BG186" s="83">
        <f>IF($U$186="zákl. přenesená",$N$186,0)</f>
        <v>0</v>
      </c>
      <c r="BH186" s="83">
        <f>IF($U$186="sníž. přenesená",$N$186,0)</f>
        <v>0</v>
      </c>
      <c r="BI186" s="83">
        <f>IF($U$186="nulová",$N$186,0)</f>
        <v>0</v>
      </c>
      <c r="BJ186" s="7" t="s">
        <v>17</v>
      </c>
      <c r="BK186" s="83">
        <f>ROUND($L$186*$K$186,2)</f>
        <v>0</v>
      </c>
      <c r="BL186" s="7" t="s">
        <v>144</v>
      </c>
    </row>
    <row r="187" spans="2:64" s="7" customFormat="1" ht="27" customHeight="1">
      <c r="B187" s="22"/>
      <c r="C187" s="124" t="s">
        <v>316</v>
      </c>
      <c r="D187" s="124" t="s">
        <v>140</v>
      </c>
      <c r="E187" s="125" t="s">
        <v>317</v>
      </c>
      <c r="F187" s="200" t="s">
        <v>318</v>
      </c>
      <c r="G187" s="192"/>
      <c r="H187" s="192"/>
      <c r="I187" s="192"/>
      <c r="J187" s="126" t="s">
        <v>253</v>
      </c>
      <c r="K187" s="127">
        <v>0.092</v>
      </c>
      <c r="L187" s="201"/>
      <c r="M187" s="202"/>
      <c r="N187" s="193">
        <f>ROUND($L$187*$K$187,2)</f>
        <v>0</v>
      </c>
      <c r="O187" s="192"/>
      <c r="P187" s="192"/>
      <c r="Q187" s="192"/>
      <c r="R187" s="23"/>
      <c r="T187" s="128"/>
      <c r="U187" s="29" t="s">
        <v>36</v>
      </c>
      <c r="V187" s="129">
        <v>46.669</v>
      </c>
      <c r="W187" s="129">
        <f>$V$187*$K$187</f>
        <v>4.2935479999999995</v>
      </c>
      <c r="X187" s="129">
        <v>1.04838</v>
      </c>
      <c r="Y187" s="129">
        <f>$X$187*$K$187</f>
        <v>0.09645096</v>
      </c>
      <c r="Z187" s="129">
        <v>0</v>
      </c>
      <c r="AA187" s="130">
        <f>$Z$187*$K$187</f>
        <v>0</v>
      </c>
      <c r="AR187" s="7" t="s">
        <v>144</v>
      </c>
      <c r="AT187" s="7" t="s">
        <v>140</v>
      </c>
      <c r="AU187" s="7" t="s">
        <v>100</v>
      </c>
      <c r="AY187" s="7" t="s">
        <v>139</v>
      </c>
      <c r="BE187" s="83">
        <f>IF($U$187="základní",$N$187,0)</f>
        <v>0</v>
      </c>
      <c r="BF187" s="83">
        <f>IF($U$187="snížená",$N$187,0)</f>
        <v>0</v>
      </c>
      <c r="BG187" s="83">
        <f>IF($U$187="zákl. přenesená",$N$187,0)</f>
        <v>0</v>
      </c>
      <c r="BH187" s="83">
        <f>IF($U$187="sníž. přenesená",$N$187,0)</f>
        <v>0</v>
      </c>
      <c r="BI187" s="83">
        <f>IF($U$187="nulová",$N$187,0)</f>
        <v>0</v>
      </c>
      <c r="BJ187" s="7" t="s">
        <v>17</v>
      </c>
      <c r="BK187" s="83">
        <f>ROUND($L$187*$K$187,2)</f>
        <v>0</v>
      </c>
      <c r="BL187" s="7" t="s">
        <v>144</v>
      </c>
    </row>
    <row r="188" spans="2:51" s="7" customFormat="1" ht="15.75" customHeight="1">
      <c r="B188" s="131"/>
      <c r="E188" s="132"/>
      <c r="F188" s="203" t="s">
        <v>319</v>
      </c>
      <c r="G188" s="204"/>
      <c r="H188" s="204"/>
      <c r="I188" s="204"/>
      <c r="K188" s="133">
        <v>0.092</v>
      </c>
      <c r="L188" s="151"/>
      <c r="M188" s="151"/>
      <c r="R188" s="134"/>
      <c r="T188" s="135"/>
      <c r="AA188" s="136"/>
      <c r="AT188" s="132" t="s">
        <v>148</v>
      </c>
      <c r="AU188" s="132" t="s">
        <v>100</v>
      </c>
      <c r="AV188" s="132" t="s">
        <v>100</v>
      </c>
      <c r="AW188" s="132" t="s">
        <v>109</v>
      </c>
      <c r="AX188" s="132" t="s">
        <v>17</v>
      </c>
      <c r="AY188" s="132" t="s">
        <v>139</v>
      </c>
    </row>
    <row r="189" spans="2:64" s="7" customFormat="1" ht="27" customHeight="1">
      <c r="B189" s="22"/>
      <c r="C189" s="124" t="s">
        <v>320</v>
      </c>
      <c r="D189" s="124" t="s">
        <v>140</v>
      </c>
      <c r="E189" s="125" t="s">
        <v>321</v>
      </c>
      <c r="F189" s="200" t="s">
        <v>322</v>
      </c>
      <c r="G189" s="192"/>
      <c r="H189" s="192"/>
      <c r="I189" s="192"/>
      <c r="J189" s="126" t="s">
        <v>213</v>
      </c>
      <c r="K189" s="127">
        <v>22</v>
      </c>
      <c r="L189" s="201"/>
      <c r="M189" s="202"/>
      <c r="N189" s="193">
        <f>ROUND($L$189*$K$189,2)</f>
        <v>0</v>
      </c>
      <c r="O189" s="192"/>
      <c r="P189" s="192"/>
      <c r="Q189" s="192"/>
      <c r="R189" s="23"/>
      <c r="T189" s="128"/>
      <c r="U189" s="29" t="s">
        <v>36</v>
      </c>
      <c r="V189" s="129">
        <v>1.378</v>
      </c>
      <c r="W189" s="129">
        <f>$V$189*$K$189</f>
        <v>30.316</v>
      </c>
      <c r="X189" s="129">
        <v>0.00033</v>
      </c>
      <c r="Y189" s="129">
        <f>$X$189*$K$189</f>
        <v>0.00726</v>
      </c>
      <c r="Z189" s="129">
        <v>0</v>
      </c>
      <c r="AA189" s="130">
        <f>$Z$189*$K$189</f>
        <v>0</v>
      </c>
      <c r="AR189" s="7" t="s">
        <v>144</v>
      </c>
      <c r="AT189" s="7" t="s">
        <v>140</v>
      </c>
      <c r="AU189" s="7" t="s">
        <v>100</v>
      </c>
      <c r="AY189" s="7" t="s">
        <v>139</v>
      </c>
      <c r="BE189" s="83">
        <f>IF($U$189="základní",$N$189,0)</f>
        <v>0</v>
      </c>
      <c r="BF189" s="83">
        <f>IF($U$189="snížená",$N$189,0)</f>
        <v>0</v>
      </c>
      <c r="BG189" s="83">
        <f>IF($U$189="zákl. přenesená",$N$189,0)</f>
        <v>0</v>
      </c>
      <c r="BH189" s="83">
        <f>IF($U$189="sníž. přenesená",$N$189,0)</f>
        <v>0</v>
      </c>
      <c r="BI189" s="83">
        <f>IF($U$189="nulová",$N$189,0)</f>
        <v>0</v>
      </c>
      <c r="BJ189" s="7" t="s">
        <v>17</v>
      </c>
      <c r="BK189" s="83">
        <f>ROUND($L$189*$K$189,2)</f>
        <v>0</v>
      </c>
      <c r="BL189" s="7" t="s">
        <v>144</v>
      </c>
    </row>
    <row r="190" spans="2:64" s="7" customFormat="1" ht="15.75" customHeight="1">
      <c r="B190" s="22"/>
      <c r="C190" s="143" t="s">
        <v>323</v>
      </c>
      <c r="D190" s="143" t="s">
        <v>162</v>
      </c>
      <c r="E190" s="144" t="s">
        <v>324</v>
      </c>
      <c r="F190" s="208" t="s">
        <v>325</v>
      </c>
      <c r="G190" s="209"/>
      <c r="H190" s="209"/>
      <c r="I190" s="209"/>
      <c r="J190" s="145" t="s">
        <v>213</v>
      </c>
      <c r="K190" s="146">
        <v>16.6</v>
      </c>
      <c r="L190" s="210"/>
      <c r="M190" s="211"/>
      <c r="N190" s="205">
        <f>ROUND($L$190*$K$190,2)</f>
        <v>0</v>
      </c>
      <c r="O190" s="192"/>
      <c r="P190" s="192"/>
      <c r="Q190" s="192"/>
      <c r="R190" s="23"/>
      <c r="T190" s="128"/>
      <c r="U190" s="29" t="s">
        <v>36</v>
      </c>
      <c r="V190" s="129">
        <v>0</v>
      </c>
      <c r="W190" s="129">
        <f>$V$190*$K$190</f>
        <v>0</v>
      </c>
      <c r="X190" s="129">
        <v>0.05507</v>
      </c>
      <c r="Y190" s="129">
        <f>$X$190*$K$190</f>
        <v>0.9141620000000001</v>
      </c>
      <c r="Z190" s="129">
        <v>0</v>
      </c>
      <c r="AA190" s="130">
        <f>$Z$190*$K$190</f>
        <v>0</v>
      </c>
      <c r="AR190" s="7" t="s">
        <v>165</v>
      </c>
      <c r="AT190" s="7" t="s">
        <v>162</v>
      </c>
      <c r="AU190" s="7" t="s">
        <v>100</v>
      </c>
      <c r="AY190" s="7" t="s">
        <v>139</v>
      </c>
      <c r="BE190" s="83">
        <f>IF($U$190="základní",$N$190,0)</f>
        <v>0</v>
      </c>
      <c r="BF190" s="83">
        <f>IF($U$190="snížená",$N$190,0)</f>
        <v>0</v>
      </c>
      <c r="BG190" s="83">
        <f>IF($U$190="zákl. přenesená",$N$190,0)</f>
        <v>0</v>
      </c>
      <c r="BH190" s="83">
        <f>IF($U$190="sníž. přenesená",$N$190,0)</f>
        <v>0</v>
      </c>
      <c r="BI190" s="83">
        <f>IF($U$190="nulová",$N$190,0)</f>
        <v>0</v>
      </c>
      <c r="BJ190" s="7" t="s">
        <v>17</v>
      </c>
      <c r="BK190" s="83">
        <f>ROUND($L$190*$K$190,2)</f>
        <v>0</v>
      </c>
      <c r="BL190" s="7" t="s">
        <v>144</v>
      </c>
    </row>
    <row r="191" spans="2:51" s="7" customFormat="1" ht="15.75" customHeight="1">
      <c r="B191" s="131"/>
      <c r="E191" s="132"/>
      <c r="F191" s="203" t="s">
        <v>326</v>
      </c>
      <c r="G191" s="204"/>
      <c r="H191" s="204"/>
      <c r="I191" s="204"/>
      <c r="K191" s="133">
        <v>16.6</v>
      </c>
      <c r="L191" s="151"/>
      <c r="M191" s="151"/>
      <c r="R191" s="134"/>
      <c r="T191" s="135"/>
      <c r="AA191" s="136"/>
      <c r="AT191" s="132" t="s">
        <v>148</v>
      </c>
      <c r="AU191" s="132" t="s">
        <v>100</v>
      </c>
      <c r="AV191" s="132" t="s">
        <v>100</v>
      </c>
      <c r="AW191" s="132" t="s">
        <v>109</v>
      </c>
      <c r="AX191" s="132" t="s">
        <v>17</v>
      </c>
      <c r="AY191" s="132" t="s">
        <v>139</v>
      </c>
    </row>
    <row r="192" spans="2:64" s="7" customFormat="1" ht="27" customHeight="1">
      <c r="B192" s="22"/>
      <c r="C192" s="124" t="s">
        <v>327</v>
      </c>
      <c r="D192" s="124" t="s">
        <v>140</v>
      </c>
      <c r="E192" s="125" t="s">
        <v>328</v>
      </c>
      <c r="F192" s="200" t="s">
        <v>329</v>
      </c>
      <c r="G192" s="192"/>
      <c r="H192" s="192"/>
      <c r="I192" s="192"/>
      <c r="J192" s="126" t="s">
        <v>213</v>
      </c>
      <c r="K192" s="127">
        <v>22</v>
      </c>
      <c r="L192" s="201"/>
      <c r="M192" s="202"/>
      <c r="N192" s="193">
        <f>ROUND($L$192*$K$192,2)</f>
        <v>0</v>
      </c>
      <c r="O192" s="192"/>
      <c r="P192" s="192"/>
      <c r="Q192" s="192"/>
      <c r="R192" s="23"/>
      <c r="T192" s="128"/>
      <c r="U192" s="29" t="s">
        <v>36</v>
      </c>
      <c r="V192" s="129">
        <v>0.34</v>
      </c>
      <c r="W192" s="129">
        <f>$V$192*$K$192</f>
        <v>7.48</v>
      </c>
      <c r="X192" s="129">
        <v>0.01899</v>
      </c>
      <c r="Y192" s="129">
        <f>$X$192*$K$192</f>
        <v>0.41778</v>
      </c>
      <c r="Z192" s="129">
        <v>0</v>
      </c>
      <c r="AA192" s="130">
        <f>$Z$192*$K$192</f>
        <v>0</v>
      </c>
      <c r="AR192" s="7" t="s">
        <v>144</v>
      </c>
      <c r="AT192" s="7" t="s">
        <v>140</v>
      </c>
      <c r="AU192" s="7" t="s">
        <v>100</v>
      </c>
      <c r="AY192" s="7" t="s">
        <v>139</v>
      </c>
      <c r="BE192" s="83">
        <f>IF($U$192="základní",$N$192,0)</f>
        <v>0</v>
      </c>
      <c r="BF192" s="83">
        <f>IF($U$192="snížená",$N$192,0)</f>
        <v>0</v>
      </c>
      <c r="BG192" s="83">
        <f>IF($U$192="zákl. přenesená",$N$192,0)</f>
        <v>0</v>
      </c>
      <c r="BH192" s="83">
        <f>IF($U$192="sníž. přenesená",$N$192,0)</f>
        <v>0</v>
      </c>
      <c r="BI192" s="83">
        <f>IF($U$192="nulová",$N$192,0)</f>
        <v>0</v>
      </c>
      <c r="BJ192" s="7" t="s">
        <v>17</v>
      </c>
      <c r="BK192" s="83">
        <f>ROUND($L$192*$K$192,2)</f>
        <v>0</v>
      </c>
      <c r="BL192" s="7" t="s">
        <v>144</v>
      </c>
    </row>
    <row r="193" spans="2:51" s="7" customFormat="1" ht="15.75" customHeight="1">
      <c r="B193" s="131"/>
      <c r="E193" s="132"/>
      <c r="F193" s="203" t="s">
        <v>330</v>
      </c>
      <c r="G193" s="204"/>
      <c r="H193" s="204"/>
      <c r="I193" s="204"/>
      <c r="K193" s="133">
        <v>22</v>
      </c>
      <c r="L193" s="151"/>
      <c r="M193" s="151"/>
      <c r="R193" s="134"/>
      <c r="T193" s="135"/>
      <c r="AA193" s="136"/>
      <c r="AT193" s="132" t="s">
        <v>148</v>
      </c>
      <c r="AU193" s="132" t="s">
        <v>100</v>
      </c>
      <c r="AV193" s="132" t="s">
        <v>100</v>
      </c>
      <c r="AW193" s="132" t="s">
        <v>109</v>
      </c>
      <c r="AX193" s="132" t="s">
        <v>17</v>
      </c>
      <c r="AY193" s="132" t="s">
        <v>139</v>
      </c>
    </row>
    <row r="194" spans="2:64" s="7" customFormat="1" ht="27" customHeight="1">
      <c r="B194" s="22"/>
      <c r="C194" s="124" t="s">
        <v>331</v>
      </c>
      <c r="D194" s="124" t="s">
        <v>140</v>
      </c>
      <c r="E194" s="125" t="s">
        <v>332</v>
      </c>
      <c r="F194" s="200" t="s">
        <v>333</v>
      </c>
      <c r="G194" s="192"/>
      <c r="H194" s="192"/>
      <c r="I194" s="192"/>
      <c r="J194" s="126" t="s">
        <v>213</v>
      </c>
      <c r="K194" s="127">
        <v>22</v>
      </c>
      <c r="L194" s="201"/>
      <c r="M194" s="202"/>
      <c r="N194" s="193">
        <f>ROUND($L$194*$K$194,2)</f>
        <v>0</v>
      </c>
      <c r="O194" s="192"/>
      <c r="P194" s="192"/>
      <c r="Q194" s="192"/>
      <c r="R194" s="23"/>
      <c r="T194" s="128"/>
      <c r="U194" s="29" t="s">
        <v>36</v>
      </c>
      <c r="V194" s="129">
        <v>0.24</v>
      </c>
      <c r="W194" s="129">
        <f>$V$194*$K$194</f>
        <v>5.279999999999999</v>
      </c>
      <c r="X194" s="129">
        <v>0</v>
      </c>
      <c r="Y194" s="129">
        <f>$X$194*$K$194</f>
        <v>0</v>
      </c>
      <c r="Z194" s="129">
        <v>0</v>
      </c>
      <c r="AA194" s="130">
        <f>$Z$194*$K$194</f>
        <v>0</v>
      </c>
      <c r="AR194" s="7" t="s">
        <v>144</v>
      </c>
      <c r="AT194" s="7" t="s">
        <v>140</v>
      </c>
      <c r="AU194" s="7" t="s">
        <v>100</v>
      </c>
      <c r="AY194" s="7" t="s">
        <v>139</v>
      </c>
      <c r="BE194" s="83">
        <f>IF($U$194="základní",$N$194,0)</f>
        <v>0</v>
      </c>
      <c r="BF194" s="83">
        <f>IF($U$194="snížená",$N$194,0)</f>
        <v>0</v>
      </c>
      <c r="BG194" s="83">
        <f>IF($U$194="zákl. přenesená",$N$194,0)</f>
        <v>0</v>
      </c>
      <c r="BH194" s="83">
        <f>IF($U$194="sníž. přenesená",$N$194,0)</f>
        <v>0</v>
      </c>
      <c r="BI194" s="83">
        <f>IF($U$194="nulová",$N$194,0)</f>
        <v>0</v>
      </c>
      <c r="BJ194" s="7" t="s">
        <v>17</v>
      </c>
      <c r="BK194" s="83">
        <f>ROUND($L$194*$K$194,2)</f>
        <v>0</v>
      </c>
      <c r="BL194" s="7" t="s">
        <v>144</v>
      </c>
    </row>
    <row r="195" spans="2:64" s="7" customFormat="1" ht="27" customHeight="1">
      <c r="B195" s="22"/>
      <c r="C195" s="124" t="s">
        <v>334</v>
      </c>
      <c r="D195" s="124" t="s">
        <v>140</v>
      </c>
      <c r="E195" s="125" t="s">
        <v>335</v>
      </c>
      <c r="F195" s="200" t="s">
        <v>336</v>
      </c>
      <c r="G195" s="192"/>
      <c r="H195" s="192"/>
      <c r="I195" s="192"/>
      <c r="J195" s="126" t="s">
        <v>213</v>
      </c>
      <c r="K195" s="127">
        <v>7</v>
      </c>
      <c r="L195" s="201"/>
      <c r="M195" s="202"/>
      <c r="N195" s="193">
        <f>ROUND($L$195*$K$195,2)</f>
        <v>0</v>
      </c>
      <c r="O195" s="192"/>
      <c r="P195" s="192"/>
      <c r="Q195" s="192"/>
      <c r="R195" s="23"/>
      <c r="T195" s="128"/>
      <c r="U195" s="29" t="s">
        <v>36</v>
      </c>
      <c r="V195" s="129">
        <v>0.04</v>
      </c>
      <c r="W195" s="129">
        <f>$V$195*$K$195</f>
        <v>0.28</v>
      </c>
      <c r="X195" s="129">
        <v>0.00662</v>
      </c>
      <c r="Y195" s="129">
        <f>$X$195*$K$195</f>
        <v>0.04634</v>
      </c>
      <c r="Z195" s="129">
        <v>0</v>
      </c>
      <c r="AA195" s="130">
        <f>$Z$195*$K$195</f>
        <v>0</v>
      </c>
      <c r="AR195" s="7" t="s">
        <v>144</v>
      </c>
      <c r="AT195" s="7" t="s">
        <v>140</v>
      </c>
      <c r="AU195" s="7" t="s">
        <v>100</v>
      </c>
      <c r="AY195" s="7" t="s">
        <v>139</v>
      </c>
      <c r="BE195" s="83">
        <f>IF($U$195="základní",$N$195,0)</f>
        <v>0</v>
      </c>
      <c r="BF195" s="83">
        <f>IF($U$195="snížená",$N$195,0)</f>
        <v>0</v>
      </c>
      <c r="BG195" s="83">
        <f>IF($U$195="zákl. přenesená",$N$195,0)</f>
        <v>0</v>
      </c>
      <c r="BH195" s="83">
        <f>IF($U$195="sníž. přenesená",$N$195,0)</f>
        <v>0</v>
      </c>
      <c r="BI195" s="83">
        <f>IF($U$195="nulová",$N$195,0)</f>
        <v>0</v>
      </c>
      <c r="BJ195" s="7" t="s">
        <v>17</v>
      </c>
      <c r="BK195" s="83">
        <f>ROUND($L$195*$K$195,2)</f>
        <v>0</v>
      </c>
      <c r="BL195" s="7" t="s">
        <v>144</v>
      </c>
    </row>
    <row r="196" spans="2:51" s="7" customFormat="1" ht="15.75" customHeight="1">
      <c r="B196" s="131"/>
      <c r="E196" s="132"/>
      <c r="F196" s="203" t="s">
        <v>337</v>
      </c>
      <c r="G196" s="204"/>
      <c r="H196" s="204"/>
      <c r="I196" s="204"/>
      <c r="K196" s="133">
        <v>7</v>
      </c>
      <c r="L196" s="151"/>
      <c r="M196" s="151"/>
      <c r="R196" s="134"/>
      <c r="T196" s="135"/>
      <c r="AA196" s="136"/>
      <c r="AT196" s="132" t="s">
        <v>148</v>
      </c>
      <c r="AU196" s="132" t="s">
        <v>100</v>
      </c>
      <c r="AV196" s="132" t="s">
        <v>100</v>
      </c>
      <c r="AW196" s="132" t="s">
        <v>109</v>
      </c>
      <c r="AX196" s="132" t="s">
        <v>17</v>
      </c>
      <c r="AY196" s="132" t="s">
        <v>139</v>
      </c>
    </row>
    <row r="197" spans="2:63" s="114" customFormat="1" ht="30.75" customHeight="1">
      <c r="B197" s="115"/>
      <c r="D197" s="123" t="s">
        <v>200</v>
      </c>
      <c r="L197" s="152"/>
      <c r="M197" s="152"/>
      <c r="N197" s="197">
        <f>$BK$197</f>
        <v>0</v>
      </c>
      <c r="O197" s="196"/>
      <c r="P197" s="196"/>
      <c r="Q197" s="196"/>
      <c r="R197" s="118"/>
      <c r="T197" s="119"/>
      <c r="W197" s="120">
        <f>SUM($W$198:$W$220)</f>
        <v>296.56720100000007</v>
      </c>
      <c r="Y197" s="120">
        <f>SUM($Y$198:$Y$220)</f>
        <v>70.42492497</v>
      </c>
      <c r="AA197" s="121">
        <f>SUM($AA$198:$AA$220)</f>
        <v>0</v>
      </c>
      <c r="AR197" s="117" t="s">
        <v>17</v>
      </c>
      <c r="AT197" s="117" t="s">
        <v>70</v>
      </c>
      <c r="AU197" s="117" t="s">
        <v>17</v>
      </c>
      <c r="AY197" s="117" t="s">
        <v>139</v>
      </c>
      <c r="BK197" s="122">
        <f>SUM($BK$198:$BK$220)</f>
        <v>0</v>
      </c>
    </row>
    <row r="198" spans="2:64" s="7" customFormat="1" ht="27" customHeight="1">
      <c r="B198" s="22"/>
      <c r="C198" s="124" t="s">
        <v>338</v>
      </c>
      <c r="D198" s="124" t="s">
        <v>140</v>
      </c>
      <c r="E198" s="125" t="s">
        <v>339</v>
      </c>
      <c r="F198" s="200" t="s">
        <v>340</v>
      </c>
      <c r="G198" s="192"/>
      <c r="H198" s="192"/>
      <c r="I198" s="192"/>
      <c r="J198" s="126" t="s">
        <v>216</v>
      </c>
      <c r="K198" s="127">
        <v>11.088</v>
      </c>
      <c r="L198" s="201"/>
      <c r="M198" s="202"/>
      <c r="N198" s="193">
        <f>ROUND($L$198*$K$198,2)</f>
        <v>0</v>
      </c>
      <c r="O198" s="192"/>
      <c r="P198" s="192"/>
      <c r="Q198" s="192"/>
      <c r="R198" s="23"/>
      <c r="T198" s="128"/>
      <c r="U198" s="29" t="s">
        <v>36</v>
      </c>
      <c r="V198" s="129">
        <v>1.171</v>
      </c>
      <c r="W198" s="129">
        <f>$V$198*$K$198</f>
        <v>12.984048</v>
      </c>
      <c r="X198" s="129">
        <v>0</v>
      </c>
      <c r="Y198" s="129">
        <f>$X$198*$K$198</f>
        <v>0</v>
      </c>
      <c r="Z198" s="129">
        <v>0</v>
      </c>
      <c r="AA198" s="130">
        <f>$Z$198*$K$198</f>
        <v>0</v>
      </c>
      <c r="AR198" s="7" t="s">
        <v>144</v>
      </c>
      <c r="AT198" s="7" t="s">
        <v>140</v>
      </c>
      <c r="AU198" s="7" t="s">
        <v>100</v>
      </c>
      <c r="AY198" s="7" t="s">
        <v>139</v>
      </c>
      <c r="BE198" s="83">
        <f>IF($U$198="základní",$N$198,0)</f>
        <v>0</v>
      </c>
      <c r="BF198" s="83">
        <f>IF($U$198="snížená",$N$198,0)</f>
        <v>0</v>
      </c>
      <c r="BG198" s="83">
        <f>IF($U$198="zákl. přenesená",$N$198,0)</f>
        <v>0</v>
      </c>
      <c r="BH198" s="83">
        <f>IF($U$198="sníž. přenesená",$N$198,0)</f>
        <v>0</v>
      </c>
      <c r="BI198" s="83">
        <f>IF($U$198="nulová",$N$198,0)</f>
        <v>0</v>
      </c>
      <c r="BJ198" s="7" t="s">
        <v>17</v>
      </c>
      <c r="BK198" s="83">
        <f>ROUND($L$198*$K$198,2)</f>
        <v>0</v>
      </c>
      <c r="BL198" s="7" t="s">
        <v>144</v>
      </c>
    </row>
    <row r="199" spans="2:51" s="7" customFormat="1" ht="15.75" customHeight="1">
      <c r="B199" s="131"/>
      <c r="E199" s="132"/>
      <c r="F199" s="203" t="s">
        <v>341</v>
      </c>
      <c r="G199" s="204"/>
      <c r="H199" s="204"/>
      <c r="I199" s="204"/>
      <c r="K199" s="133">
        <v>11.088</v>
      </c>
      <c r="L199" s="151"/>
      <c r="M199" s="151"/>
      <c r="R199" s="134"/>
      <c r="T199" s="135"/>
      <c r="AA199" s="136"/>
      <c r="AT199" s="132" t="s">
        <v>148</v>
      </c>
      <c r="AU199" s="132" t="s">
        <v>100</v>
      </c>
      <c r="AV199" s="132" t="s">
        <v>100</v>
      </c>
      <c r="AW199" s="132" t="s">
        <v>109</v>
      </c>
      <c r="AX199" s="132" t="s">
        <v>17</v>
      </c>
      <c r="AY199" s="132" t="s">
        <v>139</v>
      </c>
    </row>
    <row r="200" spans="2:64" s="7" customFormat="1" ht="27" customHeight="1">
      <c r="B200" s="22"/>
      <c r="C200" s="124" t="s">
        <v>342</v>
      </c>
      <c r="D200" s="124" t="s">
        <v>140</v>
      </c>
      <c r="E200" s="125" t="s">
        <v>343</v>
      </c>
      <c r="F200" s="200" t="s">
        <v>344</v>
      </c>
      <c r="G200" s="192"/>
      <c r="H200" s="192"/>
      <c r="I200" s="192"/>
      <c r="J200" s="126" t="s">
        <v>216</v>
      </c>
      <c r="K200" s="127">
        <v>11.088</v>
      </c>
      <c r="L200" s="201"/>
      <c r="M200" s="202"/>
      <c r="N200" s="193">
        <f>ROUND($L$200*$K$200,2)</f>
        <v>0</v>
      </c>
      <c r="O200" s="192"/>
      <c r="P200" s="192"/>
      <c r="Q200" s="192"/>
      <c r="R200" s="23"/>
      <c r="T200" s="128"/>
      <c r="U200" s="29" t="s">
        <v>36</v>
      </c>
      <c r="V200" s="129">
        <v>1.642</v>
      </c>
      <c r="W200" s="129">
        <f>$V$200*$K$200</f>
        <v>18.206495999999998</v>
      </c>
      <c r="X200" s="129">
        <v>0</v>
      </c>
      <c r="Y200" s="129">
        <f>$X$200*$K$200</f>
        <v>0</v>
      </c>
      <c r="Z200" s="129">
        <v>0</v>
      </c>
      <c r="AA200" s="130">
        <f>$Z$200*$K$200</f>
        <v>0</v>
      </c>
      <c r="AR200" s="7" t="s">
        <v>144</v>
      </c>
      <c r="AT200" s="7" t="s">
        <v>140</v>
      </c>
      <c r="AU200" s="7" t="s">
        <v>100</v>
      </c>
      <c r="AY200" s="7" t="s">
        <v>139</v>
      </c>
      <c r="BE200" s="83">
        <f>IF($U$200="základní",$N$200,0)</f>
        <v>0</v>
      </c>
      <c r="BF200" s="83">
        <f>IF($U$200="snížená",$N$200,0)</f>
        <v>0</v>
      </c>
      <c r="BG200" s="83">
        <f>IF($U$200="zákl. přenesená",$N$200,0)</f>
        <v>0</v>
      </c>
      <c r="BH200" s="83">
        <f>IF($U$200="sníž. přenesená",$N$200,0)</f>
        <v>0</v>
      </c>
      <c r="BI200" s="83">
        <f>IF($U$200="nulová",$N$200,0)</f>
        <v>0</v>
      </c>
      <c r="BJ200" s="7" t="s">
        <v>17</v>
      </c>
      <c r="BK200" s="83">
        <f>ROUND($L$200*$K$200,2)</f>
        <v>0</v>
      </c>
      <c r="BL200" s="7" t="s">
        <v>144</v>
      </c>
    </row>
    <row r="201" spans="2:51" s="7" customFormat="1" ht="15.75" customHeight="1">
      <c r="B201" s="131"/>
      <c r="E201" s="132"/>
      <c r="F201" s="203" t="s">
        <v>341</v>
      </c>
      <c r="G201" s="204"/>
      <c r="H201" s="204"/>
      <c r="I201" s="204"/>
      <c r="K201" s="133">
        <v>11.088</v>
      </c>
      <c r="L201" s="151"/>
      <c r="M201" s="151"/>
      <c r="R201" s="134"/>
      <c r="T201" s="135"/>
      <c r="AA201" s="136"/>
      <c r="AT201" s="132" t="s">
        <v>148</v>
      </c>
      <c r="AU201" s="132" t="s">
        <v>100</v>
      </c>
      <c r="AV201" s="132" t="s">
        <v>100</v>
      </c>
      <c r="AW201" s="132" t="s">
        <v>109</v>
      </c>
      <c r="AX201" s="132" t="s">
        <v>17</v>
      </c>
      <c r="AY201" s="132" t="s">
        <v>139</v>
      </c>
    </row>
    <row r="202" spans="2:64" s="7" customFormat="1" ht="27" customHeight="1">
      <c r="B202" s="22"/>
      <c r="C202" s="124" t="s">
        <v>345</v>
      </c>
      <c r="D202" s="124" t="s">
        <v>140</v>
      </c>
      <c r="E202" s="125" t="s">
        <v>346</v>
      </c>
      <c r="F202" s="200" t="s">
        <v>347</v>
      </c>
      <c r="G202" s="192"/>
      <c r="H202" s="192"/>
      <c r="I202" s="192"/>
      <c r="J202" s="126" t="s">
        <v>208</v>
      </c>
      <c r="K202" s="127">
        <v>91.154</v>
      </c>
      <c r="L202" s="201"/>
      <c r="M202" s="202"/>
      <c r="N202" s="193">
        <f>ROUND($L$202*$K$202,2)</f>
        <v>0</v>
      </c>
      <c r="O202" s="192"/>
      <c r="P202" s="192"/>
      <c r="Q202" s="192"/>
      <c r="R202" s="23"/>
      <c r="T202" s="128"/>
      <c r="U202" s="29" t="s">
        <v>36</v>
      </c>
      <c r="V202" s="129">
        <v>1.314</v>
      </c>
      <c r="W202" s="129">
        <f>$V$202*$K$202</f>
        <v>119.776356</v>
      </c>
      <c r="X202" s="129">
        <v>0.01787</v>
      </c>
      <c r="Y202" s="129">
        <f>$X$202*$K$202</f>
        <v>1.6289219799999999</v>
      </c>
      <c r="Z202" s="129">
        <v>0</v>
      </c>
      <c r="AA202" s="130">
        <f>$Z$202*$K$202</f>
        <v>0</v>
      </c>
      <c r="AR202" s="7" t="s">
        <v>144</v>
      </c>
      <c r="AT202" s="7" t="s">
        <v>140</v>
      </c>
      <c r="AU202" s="7" t="s">
        <v>100</v>
      </c>
      <c r="AY202" s="7" t="s">
        <v>139</v>
      </c>
      <c r="BE202" s="83">
        <f>IF($U$202="základní",$N$202,0)</f>
        <v>0</v>
      </c>
      <c r="BF202" s="83">
        <f>IF($U$202="snížená",$N$202,0)</f>
        <v>0</v>
      </c>
      <c r="BG202" s="83">
        <f>IF($U$202="zákl. přenesená",$N$202,0)</f>
        <v>0</v>
      </c>
      <c r="BH202" s="83">
        <f>IF($U$202="sníž. přenesená",$N$202,0)</f>
        <v>0</v>
      </c>
      <c r="BI202" s="83">
        <f>IF($U$202="nulová",$N$202,0)</f>
        <v>0</v>
      </c>
      <c r="BJ202" s="7" t="s">
        <v>17</v>
      </c>
      <c r="BK202" s="83">
        <f>ROUND($L$202*$K$202,2)</f>
        <v>0</v>
      </c>
      <c r="BL202" s="7" t="s">
        <v>144</v>
      </c>
    </row>
    <row r="203" spans="2:51" s="7" customFormat="1" ht="15.75" customHeight="1">
      <c r="B203" s="131"/>
      <c r="E203" s="132"/>
      <c r="F203" s="203" t="s">
        <v>348</v>
      </c>
      <c r="G203" s="204"/>
      <c r="H203" s="204"/>
      <c r="I203" s="204"/>
      <c r="K203" s="133">
        <v>91.154</v>
      </c>
      <c r="L203" s="151"/>
      <c r="M203" s="151"/>
      <c r="R203" s="134"/>
      <c r="T203" s="135"/>
      <c r="AA203" s="136"/>
      <c r="AT203" s="132" t="s">
        <v>148</v>
      </c>
      <c r="AU203" s="132" t="s">
        <v>100</v>
      </c>
      <c r="AV203" s="132" t="s">
        <v>100</v>
      </c>
      <c r="AW203" s="132" t="s">
        <v>109</v>
      </c>
      <c r="AX203" s="132" t="s">
        <v>17</v>
      </c>
      <c r="AY203" s="132" t="s">
        <v>139</v>
      </c>
    </row>
    <row r="204" spans="2:64" s="7" customFormat="1" ht="27" customHeight="1">
      <c r="B204" s="22"/>
      <c r="C204" s="124" t="s">
        <v>349</v>
      </c>
      <c r="D204" s="124" t="s">
        <v>140</v>
      </c>
      <c r="E204" s="125" t="s">
        <v>350</v>
      </c>
      <c r="F204" s="200" t="s">
        <v>351</v>
      </c>
      <c r="G204" s="192"/>
      <c r="H204" s="192"/>
      <c r="I204" s="192"/>
      <c r="J204" s="126" t="s">
        <v>208</v>
      </c>
      <c r="K204" s="127">
        <v>91.154</v>
      </c>
      <c r="L204" s="201"/>
      <c r="M204" s="202"/>
      <c r="N204" s="193">
        <f>ROUND($L$204*$K$204,2)</f>
        <v>0</v>
      </c>
      <c r="O204" s="192"/>
      <c r="P204" s="192"/>
      <c r="Q204" s="192"/>
      <c r="R204" s="23"/>
      <c r="T204" s="128"/>
      <c r="U204" s="29" t="s">
        <v>36</v>
      </c>
      <c r="V204" s="129">
        <v>0.36</v>
      </c>
      <c r="W204" s="129">
        <f>$V$204*$K$204</f>
        <v>32.815439999999995</v>
      </c>
      <c r="X204" s="129">
        <v>0</v>
      </c>
      <c r="Y204" s="129">
        <f>$X$204*$K$204</f>
        <v>0</v>
      </c>
      <c r="Z204" s="129">
        <v>0</v>
      </c>
      <c r="AA204" s="130">
        <f>$Z$204*$K$204</f>
        <v>0</v>
      </c>
      <c r="AR204" s="7" t="s">
        <v>144</v>
      </c>
      <c r="AT204" s="7" t="s">
        <v>140</v>
      </c>
      <c r="AU204" s="7" t="s">
        <v>100</v>
      </c>
      <c r="AY204" s="7" t="s">
        <v>139</v>
      </c>
      <c r="BE204" s="83">
        <f>IF($U$204="základní",$N$204,0)</f>
        <v>0</v>
      </c>
      <c r="BF204" s="83">
        <f>IF($U$204="snížená",$N$204,0)</f>
        <v>0</v>
      </c>
      <c r="BG204" s="83">
        <f>IF($U$204="zákl. přenesená",$N$204,0)</f>
        <v>0</v>
      </c>
      <c r="BH204" s="83">
        <f>IF($U$204="sníž. přenesená",$N$204,0)</f>
        <v>0</v>
      </c>
      <c r="BI204" s="83">
        <f>IF($U$204="nulová",$N$204,0)</f>
        <v>0</v>
      </c>
      <c r="BJ204" s="7" t="s">
        <v>17</v>
      </c>
      <c r="BK204" s="83">
        <f>ROUND($L$204*$K$204,2)</f>
        <v>0</v>
      </c>
      <c r="BL204" s="7" t="s">
        <v>144</v>
      </c>
    </row>
    <row r="205" spans="2:64" s="7" customFormat="1" ht="27" customHeight="1">
      <c r="B205" s="22"/>
      <c r="C205" s="124" t="s">
        <v>352</v>
      </c>
      <c r="D205" s="124" t="s">
        <v>140</v>
      </c>
      <c r="E205" s="125" t="s">
        <v>353</v>
      </c>
      <c r="F205" s="200" t="s">
        <v>354</v>
      </c>
      <c r="G205" s="192"/>
      <c r="H205" s="192"/>
      <c r="I205" s="192"/>
      <c r="J205" s="126" t="s">
        <v>253</v>
      </c>
      <c r="K205" s="127">
        <v>0.166</v>
      </c>
      <c r="L205" s="201"/>
      <c r="M205" s="202"/>
      <c r="N205" s="193">
        <f>ROUND($L$205*$K$205,2)</f>
        <v>0</v>
      </c>
      <c r="O205" s="192"/>
      <c r="P205" s="192"/>
      <c r="Q205" s="192"/>
      <c r="R205" s="23"/>
      <c r="T205" s="128"/>
      <c r="U205" s="29" t="s">
        <v>36</v>
      </c>
      <c r="V205" s="129">
        <v>60.686</v>
      </c>
      <c r="W205" s="129">
        <f>$V$205*$K$205</f>
        <v>10.073876</v>
      </c>
      <c r="X205" s="129">
        <v>1.04909</v>
      </c>
      <c r="Y205" s="129">
        <f>$X$205*$K$205</f>
        <v>0.17414894000000003</v>
      </c>
      <c r="Z205" s="129">
        <v>0</v>
      </c>
      <c r="AA205" s="130">
        <f>$Z$205*$K$205</f>
        <v>0</v>
      </c>
      <c r="AR205" s="7" t="s">
        <v>144</v>
      </c>
      <c r="AT205" s="7" t="s">
        <v>140</v>
      </c>
      <c r="AU205" s="7" t="s">
        <v>100</v>
      </c>
      <c r="AY205" s="7" t="s">
        <v>139</v>
      </c>
      <c r="BE205" s="83">
        <f>IF($U$205="základní",$N$205,0)</f>
        <v>0</v>
      </c>
      <c r="BF205" s="83">
        <f>IF($U$205="snížená",$N$205,0)</f>
        <v>0</v>
      </c>
      <c r="BG205" s="83">
        <f>IF($U$205="zákl. přenesená",$N$205,0)</f>
        <v>0</v>
      </c>
      <c r="BH205" s="83">
        <f>IF($U$205="sníž. přenesená",$N$205,0)</f>
        <v>0</v>
      </c>
      <c r="BI205" s="83">
        <f>IF($U$205="nulová",$N$205,0)</f>
        <v>0</v>
      </c>
      <c r="BJ205" s="7" t="s">
        <v>17</v>
      </c>
      <c r="BK205" s="83">
        <f>ROUND($L$205*$K$205,2)</f>
        <v>0</v>
      </c>
      <c r="BL205" s="7" t="s">
        <v>144</v>
      </c>
    </row>
    <row r="206" spans="2:51" s="7" customFormat="1" ht="15.75" customHeight="1">
      <c r="B206" s="131"/>
      <c r="E206" s="132"/>
      <c r="F206" s="203" t="s">
        <v>355</v>
      </c>
      <c r="G206" s="204"/>
      <c r="H206" s="204"/>
      <c r="I206" s="204"/>
      <c r="K206" s="133">
        <v>0.166</v>
      </c>
      <c r="L206" s="151"/>
      <c r="M206" s="151"/>
      <c r="R206" s="134"/>
      <c r="T206" s="135"/>
      <c r="AA206" s="136"/>
      <c r="AT206" s="132" t="s">
        <v>148</v>
      </c>
      <c r="AU206" s="132" t="s">
        <v>100</v>
      </c>
      <c r="AV206" s="132" t="s">
        <v>100</v>
      </c>
      <c r="AW206" s="132" t="s">
        <v>109</v>
      </c>
      <c r="AX206" s="132" t="s">
        <v>17</v>
      </c>
      <c r="AY206" s="132" t="s">
        <v>139</v>
      </c>
    </row>
    <row r="207" spans="2:64" s="7" customFormat="1" ht="27" customHeight="1">
      <c r="B207" s="22"/>
      <c r="C207" s="124" t="s">
        <v>356</v>
      </c>
      <c r="D207" s="124" t="s">
        <v>140</v>
      </c>
      <c r="E207" s="125" t="s">
        <v>357</v>
      </c>
      <c r="F207" s="200" t="s">
        <v>358</v>
      </c>
      <c r="G207" s="192"/>
      <c r="H207" s="192"/>
      <c r="I207" s="192"/>
      <c r="J207" s="126" t="s">
        <v>208</v>
      </c>
      <c r="K207" s="127">
        <v>55.335</v>
      </c>
      <c r="L207" s="201"/>
      <c r="M207" s="202"/>
      <c r="N207" s="193">
        <f>ROUND($L$207*$K$207,2)</f>
        <v>0</v>
      </c>
      <c r="O207" s="192"/>
      <c r="P207" s="192"/>
      <c r="Q207" s="192"/>
      <c r="R207" s="23"/>
      <c r="T207" s="128"/>
      <c r="U207" s="29" t="s">
        <v>36</v>
      </c>
      <c r="V207" s="129">
        <v>0.166</v>
      </c>
      <c r="W207" s="129">
        <f>$V$207*$K$207</f>
        <v>9.18561</v>
      </c>
      <c r="X207" s="129">
        <v>0</v>
      </c>
      <c r="Y207" s="129">
        <f>$X$207*$K$207</f>
        <v>0</v>
      </c>
      <c r="Z207" s="129">
        <v>0</v>
      </c>
      <c r="AA207" s="130">
        <f>$Z$207*$K$207</f>
        <v>0</v>
      </c>
      <c r="AR207" s="7" t="s">
        <v>144</v>
      </c>
      <c r="AT207" s="7" t="s">
        <v>140</v>
      </c>
      <c r="AU207" s="7" t="s">
        <v>100</v>
      </c>
      <c r="AY207" s="7" t="s">
        <v>139</v>
      </c>
      <c r="BE207" s="83">
        <f>IF($U$207="základní",$N$207,0)</f>
        <v>0</v>
      </c>
      <c r="BF207" s="83">
        <f>IF($U$207="snížená",$N$207,0)</f>
        <v>0</v>
      </c>
      <c r="BG207" s="83">
        <f>IF($U$207="zákl. přenesená",$N$207,0)</f>
        <v>0</v>
      </c>
      <c r="BH207" s="83">
        <f>IF($U$207="sníž. přenesená",$N$207,0)</f>
        <v>0</v>
      </c>
      <c r="BI207" s="83">
        <f>IF($U$207="nulová",$N$207,0)</f>
        <v>0</v>
      </c>
      <c r="BJ207" s="7" t="s">
        <v>17</v>
      </c>
      <c r="BK207" s="83">
        <f>ROUND($L$207*$K$207,2)</f>
        <v>0</v>
      </c>
      <c r="BL207" s="7" t="s">
        <v>144</v>
      </c>
    </row>
    <row r="208" spans="2:51" s="7" customFormat="1" ht="15.75" customHeight="1">
      <c r="B208" s="131"/>
      <c r="E208" s="132"/>
      <c r="F208" s="203" t="s">
        <v>359</v>
      </c>
      <c r="G208" s="204"/>
      <c r="H208" s="204"/>
      <c r="I208" s="204"/>
      <c r="K208" s="133">
        <v>41.055</v>
      </c>
      <c r="L208" s="151"/>
      <c r="M208" s="151"/>
      <c r="R208" s="134"/>
      <c r="T208" s="135"/>
      <c r="AA208" s="136"/>
      <c r="AT208" s="132" t="s">
        <v>148</v>
      </c>
      <c r="AU208" s="132" t="s">
        <v>100</v>
      </c>
      <c r="AV208" s="132" t="s">
        <v>100</v>
      </c>
      <c r="AW208" s="132" t="s">
        <v>109</v>
      </c>
      <c r="AX208" s="132" t="s">
        <v>71</v>
      </c>
      <c r="AY208" s="132" t="s">
        <v>139</v>
      </c>
    </row>
    <row r="209" spans="2:51" s="7" customFormat="1" ht="15.75" customHeight="1">
      <c r="B209" s="131"/>
      <c r="E209" s="132"/>
      <c r="F209" s="203" t="s">
        <v>360</v>
      </c>
      <c r="G209" s="204"/>
      <c r="H209" s="204"/>
      <c r="I209" s="204"/>
      <c r="K209" s="133">
        <v>14.28</v>
      </c>
      <c r="L209" s="151"/>
      <c r="M209" s="151"/>
      <c r="R209" s="134"/>
      <c r="T209" s="135"/>
      <c r="AA209" s="136"/>
      <c r="AT209" s="132" t="s">
        <v>148</v>
      </c>
      <c r="AU209" s="132" t="s">
        <v>100</v>
      </c>
      <c r="AV209" s="132" t="s">
        <v>100</v>
      </c>
      <c r="AW209" s="132" t="s">
        <v>109</v>
      </c>
      <c r="AX209" s="132" t="s">
        <v>71</v>
      </c>
      <c r="AY209" s="132" t="s">
        <v>139</v>
      </c>
    </row>
    <row r="210" spans="2:51" s="7" customFormat="1" ht="15.75" customHeight="1">
      <c r="B210" s="137"/>
      <c r="E210" s="138"/>
      <c r="F210" s="206" t="s">
        <v>156</v>
      </c>
      <c r="G210" s="207"/>
      <c r="H210" s="207"/>
      <c r="I210" s="207"/>
      <c r="K210" s="139">
        <v>55.335</v>
      </c>
      <c r="L210" s="151"/>
      <c r="M210" s="151"/>
      <c r="R210" s="140"/>
      <c r="T210" s="141"/>
      <c r="AA210" s="142"/>
      <c r="AT210" s="138" t="s">
        <v>148</v>
      </c>
      <c r="AU210" s="138" t="s">
        <v>100</v>
      </c>
      <c r="AV210" s="138" t="s">
        <v>144</v>
      </c>
      <c r="AW210" s="138" t="s">
        <v>109</v>
      </c>
      <c r="AX210" s="138" t="s">
        <v>17</v>
      </c>
      <c r="AY210" s="138" t="s">
        <v>139</v>
      </c>
    </row>
    <row r="211" spans="2:64" s="7" customFormat="1" ht="27" customHeight="1">
      <c r="B211" s="22"/>
      <c r="C211" s="124" t="s">
        <v>361</v>
      </c>
      <c r="D211" s="124" t="s">
        <v>140</v>
      </c>
      <c r="E211" s="125" t="s">
        <v>362</v>
      </c>
      <c r="F211" s="200" t="s">
        <v>363</v>
      </c>
      <c r="G211" s="192"/>
      <c r="H211" s="192"/>
      <c r="I211" s="192"/>
      <c r="J211" s="126" t="s">
        <v>208</v>
      </c>
      <c r="K211" s="127">
        <v>41.055</v>
      </c>
      <c r="L211" s="201"/>
      <c r="M211" s="202"/>
      <c r="N211" s="193">
        <f>ROUND($L$211*$K$211,2)</f>
        <v>0</v>
      </c>
      <c r="O211" s="192"/>
      <c r="P211" s="192"/>
      <c r="Q211" s="192"/>
      <c r="R211" s="23"/>
      <c r="T211" s="128"/>
      <c r="U211" s="29" t="s">
        <v>36</v>
      </c>
      <c r="V211" s="129">
        <v>0.178</v>
      </c>
      <c r="W211" s="129">
        <f>$V$211*$K$211</f>
        <v>7.30779</v>
      </c>
      <c r="X211" s="129">
        <v>0.21252</v>
      </c>
      <c r="Y211" s="129">
        <f>$X$211*$K$211</f>
        <v>8.725008599999999</v>
      </c>
      <c r="Z211" s="129">
        <v>0</v>
      </c>
      <c r="AA211" s="130">
        <f>$Z$211*$K$211</f>
        <v>0</v>
      </c>
      <c r="AR211" s="7" t="s">
        <v>144</v>
      </c>
      <c r="AT211" s="7" t="s">
        <v>140</v>
      </c>
      <c r="AU211" s="7" t="s">
        <v>100</v>
      </c>
      <c r="AY211" s="7" t="s">
        <v>139</v>
      </c>
      <c r="BE211" s="83">
        <f>IF($U$211="základní",$N$211,0)</f>
        <v>0</v>
      </c>
      <c r="BF211" s="83">
        <f>IF($U$211="snížená",$N$211,0)</f>
        <v>0</v>
      </c>
      <c r="BG211" s="83">
        <f>IF($U$211="zákl. přenesená",$N$211,0)</f>
        <v>0</v>
      </c>
      <c r="BH211" s="83">
        <f>IF($U$211="sníž. přenesená",$N$211,0)</f>
        <v>0</v>
      </c>
      <c r="BI211" s="83">
        <f>IF($U$211="nulová",$N$211,0)</f>
        <v>0</v>
      </c>
      <c r="BJ211" s="7" t="s">
        <v>17</v>
      </c>
      <c r="BK211" s="83">
        <f>ROUND($L$211*$K$211,2)</f>
        <v>0</v>
      </c>
      <c r="BL211" s="7" t="s">
        <v>144</v>
      </c>
    </row>
    <row r="212" spans="2:51" s="7" customFormat="1" ht="15.75" customHeight="1">
      <c r="B212" s="131"/>
      <c r="E212" s="132"/>
      <c r="F212" s="203" t="s">
        <v>359</v>
      </c>
      <c r="G212" s="204"/>
      <c r="H212" s="204"/>
      <c r="I212" s="204"/>
      <c r="K212" s="133">
        <v>41.055</v>
      </c>
      <c r="L212" s="151"/>
      <c r="M212" s="151"/>
      <c r="R212" s="134"/>
      <c r="T212" s="135"/>
      <c r="AA212" s="136"/>
      <c r="AT212" s="132" t="s">
        <v>148</v>
      </c>
      <c r="AU212" s="132" t="s">
        <v>100</v>
      </c>
      <c r="AV212" s="132" t="s">
        <v>100</v>
      </c>
      <c r="AW212" s="132" t="s">
        <v>109</v>
      </c>
      <c r="AX212" s="132" t="s">
        <v>17</v>
      </c>
      <c r="AY212" s="132" t="s">
        <v>139</v>
      </c>
    </row>
    <row r="213" spans="2:64" s="7" customFormat="1" ht="15.75" customHeight="1">
      <c r="B213" s="22"/>
      <c r="C213" s="124" t="s">
        <v>364</v>
      </c>
      <c r="D213" s="124" t="s">
        <v>140</v>
      </c>
      <c r="E213" s="125" t="s">
        <v>365</v>
      </c>
      <c r="F213" s="200" t="s">
        <v>366</v>
      </c>
      <c r="G213" s="192"/>
      <c r="H213" s="192"/>
      <c r="I213" s="192"/>
      <c r="J213" s="126" t="s">
        <v>216</v>
      </c>
      <c r="K213" s="127">
        <v>11.04</v>
      </c>
      <c r="L213" s="201"/>
      <c r="M213" s="202"/>
      <c r="N213" s="193">
        <f>ROUND($L$213*$K$213,2)</f>
        <v>0</v>
      </c>
      <c r="O213" s="192"/>
      <c r="P213" s="192"/>
      <c r="Q213" s="192"/>
      <c r="R213" s="23"/>
      <c r="T213" s="128"/>
      <c r="U213" s="29" t="s">
        <v>36</v>
      </c>
      <c r="V213" s="129">
        <v>1.84</v>
      </c>
      <c r="W213" s="129">
        <f>$V$213*$K$213</f>
        <v>20.3136</v>
      </c>
      <c r="X213" s="129">
        <v>0</v>
      </c>
      <c r="Y213" s="129">
        <f>$X$213*$K$213</f>
        <v>0</v>
      </c>
      <c r="Z213" s="129">
        <v>0</v>
      </c>
      <c r="AA213" s="130">
        <f>$Z$213*$K$213</f>
        <v>0</v>
      </c>
      <c r="AR213" s="7" t="s">
        <v>144</v>
      </c>
      <c r="AT213" s="7" t="s">
        <v>140</v>
      </c>
      <c r="AU213" s="7" t="s">
        <v>100</v>
      </c>
      <c r="AY213" s="7" t="s">
        <v>139</v>
      </c>
      <c r="BE213" s="83">
        <f>IF($U$213="základní",$N$213,0)</f>
        <v>0</v>
      </c>
      <c r="BF213" s="83">
        <f>IF($U$213="snížená",$N$213,0)</f>
        <v>0</v>
      </c>
      <c r="BG213" s="83">
        <f>IF($U$213="zákl. přenesená",$N$213,0)</f>
        <v>0</v>
      </c>
      <c r="BH213" s="83">
        <f>IF($U$213="sníž. přenesená",$N$213,0)</f>
        <v>0</v>
      </c>
      <c r="BI213" s="83">
        <f>IF($U$213="nulová",$N$213,0)</f>
        <v>0</v>
      </c>
      <c r="BJ213" s="7" t="s">
        <v>17</v>
      </c>
      <c r="BK213" s="83">
        <f>ROUND($L$213*$K$213,2)</f>
        <v>0</v>
      </c>
      <c r="BL213" s="7" t="s">
        <v>144</v>
      </c>
    </row>
    <row r="214" spans="2:51" s="7" customFormat="1" ht="15.75" customHeight="1">
      <c r="B214" s="131"/>
      <c r="E214" s="132"/>
      <c r="F214" s="203" t="s">
        <v>367</v>
      </c>
      <c r="G214" s="204"/>
      <c r="H214" s="204"/>
      <c r="I214" s="204"/>
      <c r="K214" s="133">
        <v>11.04</v>
      </c>
      <c r="L214" s="151"/>
      <c r="M214" s="151"/>
      <c r="R214" s="134"/>
      <c r="T214" s="135"/>
      <c r="AA214" s="136"/>
      <c r="AT214" s="132" t="s">
        <v>148</v>
      </c>
      <c r="AU214" s="132" t="s">
        <v>100</v>
      </c>
      <c r="AV214" s="132" t="s">
        <v>100</v>
      </c>
      <c r="AW214" s="132" t="s">
        <v>109</v>
      </c>
      <c r="AX214" s="132" t="s">
        <v>17</v>
      </c>
      <c r="AY214" s="132" t="s">
        <v>139</v>
      </c>
    </row>
    <row r="215" spans="2:64" s="7" customFormat="1" ht="15.75" customHeight="1">
      <c r="B215" s="22"/>
      <c r="C215" s="143" t="s">
        <v>368</v>
      </c>
      <c r="D215" s="143" t="s">
        <v>162</v>
      </c>
      <c r="E215" s="144" t="s">
        <v>369</v>
      </c>
      <c r="F215" s="208" t="s">
        <v>370</v>
      </c>
      <c r="G215" s="209"/>
      <c r="H215" s="209"/>
      <c r="I215" s="209"/>
      <c r="J215" s="145" t="s">
        <v>253</v>
      </c>
      <c r="K215" s="146">
        <v>18.768</v>
      </c>
      <c r="L215" s="210"/>
      <c r="M215" s="211"/>
      <c r="N215" s="205">
        <f>ROUND($L$215*$K$215,2)</f>
        <v>0</v>
      </c>
      <c r="O215" s="192"/>
      <c r="P215" s="192"/>
      <c r="Q215" s="192"/>
      <c r="R215" s="23"/>
      <c r="T215" s="128"/>
      <c r="U215" s="29" t="s">
        <v>36</v>
      </c>
      <c r="V215" s="129">
        <v>0</v>
      </c>
      <c r="W215" s="129">
        <f>$V$215*$K$215</f>
        <v>0</v>
      </c>
      <c r="X215" s="129">
        <v>1</v>
      </c>
      <c r="Y215" s="129">
        <f>$X$215*$K$215</f>
        <v>18.768</v>
      </c>
      <c r="Z215" s="129">
        <v>0</v>
      </c>
      <c r="AA215" s="130">
        <f>$Z$215*$K$215</f>
        <v>0</v>
      </c>
      <c r="AR215" s="7" t="s">
        <v>165</v>
      </c>
      <c r="AT215" s="7" t="s">
        <v>162</v>
      </c>
      <c r="AU215" s="7" t="s">
        <v>100</v>
      </c>
      <c r="AY215" s="7" t="s">
        <v>139</v>
      </c>
      <c r="BE215" s="83">
        <f>IF($U$215="základní",$N$215,0)</f>
        <v>0</v>
      </c>
      <c r="BF215" s="83">
        <f>IF($U$215="snížená",$N$215,0)</f>
        <v>0</v>
      </c>
      <c r="BG215" s="83">
        <f>IF($U$215="zákl. přenesená",$N$215,0)</f>
        <v>0</v>
      </c>
      <c r="BH215" s="83">
        <f>IF($U$215="sníž. přenesená",$N$215,0)</f>
        <v>0</v>
      </c>
      <c r="BI215" s="83">
        <f>IF($U$215="nulová",$N$215,0)</f>
        <v>0</v>
      </c>
      <c r="BJ215" s="7" t="s">
        <v>17</v>
      </c>
      <c r="BK215" s="83">
        <f>ROUND($L$215*$K$215,2)</f>
        <v>0</v>
      </c>
      <c r="BL215" s="7" t="s">
        <v>144</v>
      </c>
    </row>
    <row r="216" spans="2:51" s="7" customFormat="1" ht="15.75" customHeight="1">
      <c r="B216" s="131"/>
      <c r="E216" s="132"/>
      <c r="F216" s="203" t="s">
        <v>371</v>
      </c>
      <c r="G216" s="204"/>
      <c r="H216" s="204"/>
      <c r="I216" s="204"/>
      <c r="K216" s="133">
        <v>18.768</v>
      </c>
      <c r="L216" s="151"/>
      <c r="M216" s="151"/>
      <c r="R216" s="134"/>
      <c r="T216" s="135"/>
      <c r="AA216" s="136"/>
      <c r="AT216" s="132" t="s">
        <v>148</v>
      </c>
      <c r="AU216" s="132" t="s">
        <v>100</v>
      </c>
      <c r="AV216" s="132" t="s">
        <v>100</v>
      </c>
      <c r="AW216" s="132" t="s">
        <v>109</v>
      </c>
      <c r="AX216" s="132" t="s">
        <v>17</v>
      </c>
      <c r="AY216" s="132" t="s">
        <v>139</v>
      </c>
    </row>
    <row r="217" spans="2:64" s="7" customFormat="1" ht="27" customHeight="1">
      <c r="B217" s="22"/>
      <c r="C217" s="124" t="s">
        <v>372</v>
      </c>
      <c r="D217" s="124" t="s">
        <v>140</v>
      </c>
      <c r="E217" s="125" t="s">
        <v>373</v>
      </c>
      <c r="F217" s="200" t="s">
        <v>374</v>
      </c>
      <c r="G217" s="192"/>
      <c r="H217" s="192"/>
      <c r="I217" s="192"/>
      <c r="J217" s="126" t="s">
        <v>208</v>
      </c>
      <c r="K217" s="127">
        <v>55.335</v>
      </c>
      <c r="L217" s="201"/>
      <c r="M217" s="202"/>
      <c r="N217" s="193">
        <f>ROUND($L$217*$K$217,2)</f>
        <v>0</v>
      </c>
      <c r="O217" s="192"/>
      <c r="P217" s="192"/>
      <c r="Q217" s="192"/>
      <c r="R217" s="23"/>
      <c r="T217" s="128"/>
      <c r="U217" s="29" t="s">
        <v>36</v>
      </c>
      <c r="V217" s="129">
        <v>1.191</v>
      </c>
      <c r="W217" s="129">
        <f>$V$217*$K$217</f>
        <v>65.903985</v>
      </c>
      <c r="X217" s="129">
        <v>0.74327</v>
      </c>
      <c r="Y217" s="129">
        <f>$X$217*$K$217</f>
        <v>41.12884545</v>
      </c>
      <c r="Z217" s="129">
        <v>0</v>
      </c>
      <c r="AA217" s="130">
        <f>$Z$217*$K$217</f>
        <v>0</v>
      </c>
      <c r="AR217" s="7" t="s">
        <v>144</v>
      </c>
      <c r="AT217" s="7" t="s">
        <v>140</v>
      </c>
      <c r="AU217" s="7" t="s">
        <v>100</v>
      </c>
      <c r="AY217" s="7" t="s">
        <v>139</v>
      </c>
      <c r="BE217" s="83">
        <f>IF($U$217="základní",$N$217,0)</f>
        <v>0</v>
      </c>
      <c r="BF217" s="83">
        <f>IF($U$217="snížená",$N$217,0)</f>
        <v>0</v>
      </c>
      <c r="BG217" s="83">
        <f>IF($U$217="zákl. přenesená",$N$217,0)</f>
        <v>0</v>
      </c>
      <c r="BH217" s="83">
        <f>IF($U$217="sníž. přenesená",$N$217,0)</f>
        <v>0</v>
      </c>
      <c r="BI217" s="83">
        <f>IF($U$217="nulová",$N$217,0)</f>
        <v>0</v>
      </c>
      <c r="BJ217" s="7" t="s">
        <v>17</v>
      </c>
      <c r="BK217" s="83">
        <f>ROUND($L$217*$K$217,2)</f>
        <v>0</v>
      </c>
      <c r="BL217" s="7" t="s">
        <v>144</v>
      </c>
    </row>
    <row r="218" spans="2:51" s="7" customFormat="1" ht="15.75" customHeight="1">
      <c r="B218" s="131"/>
      <c r="E218" s="132"/>
      <c r="F218" s="203" t="s">
        <v>359</v>
      </c>
      <c r="G218" s="204"/>
      <c r="H218" s="204"/>
      <c r="I218" s="204"/>
      <c r="K218" s="133">
        <v>41.055</v>
      </c>
      <c r="L218" s="151"/>
      <c r="M218" s="151"/>
      <c r="R218" s="134"/>
      <c r="T218" s="135"/>
      <c r="AA218" s="136"/>
      <c r="AT218" s="132" t="s">
        <v>148</v>
      </c>
      <c r="AU218" s="132" t="s">
        <v>100</v>
      </c>
      <c r="AV218" s="132" t="s">
        <v>100</v>
      </c>
      <c r="AW218" s="132" t="s">
        <v>109</v>
      </c>
      <c r="AX218" s="132" t="s">
        <v>71</v>
      </c>
      <c r="AY218" s="132" t="s">
        <v>139</v>
      </c>
    </row>
    <row r="219" spans="2:51" s="7" customFormat="1" ht="15.75" customHeight="1">
      <c r="B219" s="131"/>
      <c r="E219" s="132"/>
      <c r="F219" s="203" t="s">
        <v>360</v>
      </c>
      <c r="G219" s="204"/>
      <c r="H219" s="204"/>
      <c r="I219" s="204"/>
      <c r="K219" s="133">
        <v>14.28</v>
      </c>
      <c r="L219" s="151"/>
      <c r="M219" s="151"/>
      <c r="R219" s="134"/>
      <c r="T219" s="135"/>
      <c r="AA219" s="136"/>
      <c r="AT219" s="132" t="s">
        <v>148</v>
      </c>
      <c r="AU219" s="132" t="s">
        <v>100</v>
      </c>
      <c r="AV219" s="132" t="s">
        <v>100</v>
      </c>
      <c r="AW219" s="132" t="s">
        <v>109</v>
      </c>
      <c r="AX219" s="132" t="s">
        <v>71</v>
      </c>
      <c r="AY219" s="132" t="s">
        <v>139</v>
      </c>
    </row>
    <row r="220" spans="2:51" s="7" customFormat="1" ht="15.75" customHeight="1">
      <c r="B220" s="137"/>
      <c r="E220" s="138"/>
      <c r="F220" s="206" t="s">
        <v>156</v>
      </c>
      <c r="G220" s="207"/>
      <c r="H220" s="207"/>
      <c r="I220" s="207"/>
      <c r="K220" s="139">
        <v>55.335</v>
      </c>
      <c r="L220" s="151"/>
      <c r="M220" s="151"/>
      <c r="R220" s="140"/>
      <c r="T220" s="141"/>
      <c r="AA220" s="142"/>
      <c r="AT220" s="138" t="s">
        <v>148</v>
      </c>
      <c r="AU220" s="138" t="s">
        <v>100</v>
      </c>
      <c r="AV220" s="138" t="s">
        <v>144</v>
      </c>
      <c r="AW220" s="138" t="s">
        <v>109</v>
      </c>
      <c r="AX220" s="138" t="s">
        <v>17</v>
      </c>
      <c r="AY220" s="138" t="s">
        <v>139</v>
      </c>
    </row>
    <row r="221" spans="2:63" s="114" customFormat="1" ht="30.75" customHeight="1">
      <c r="B221" s="115"/>
      <c r="D221" s="123" t="s">
        <v>201</v>
      </c>
      <c r="L221" s="152"/>
      <c r="M221" s="152"/>
      <c r="N221" s="197">
        <f>$BK$221</f>
        <v>0</v>
      </c>
      <c r="O221" s="196"/>
      <c r="P221" s="196"/>
      <c r="Q221" s="196"/>
      <c r="R221" s="118"/>
      <c r="T221" s="119"/>
      <c r="W221" s="120">
        <f>SUM($W$222:$W$239)</f>
        <v>17.209519999999998</v>
      </c>
      <c r="Y221" s="120">
        <f>SUM($Y$222:$Y$239)</f>
        <v>0.3435276</v>
      </c>
      <c r="AA221" s="121">
        <f>SUM($AA$222:$AA$239)</f>
        <v>0</v>
      </c>
      <c r="AR221" s="117" t="s">
        <v>17</v>
      </c>
      <c r="AT221" s="117" t="s">
        <v>70</v>
      </c>
      <c r="AU221" s="117" t="s">
        <v>17</v>
      </c>
      <c r="AY221" s="117" t="s">
        <v>139</v>
      </c>
      <c r="BK221" s="122">
        <f>SUM($BK$222:$BK$239)</f>
        <v>0</v>
      </c>
    </row>
    <row r="222" spans="2:64" s="7" customFormat="1" ht="27" customHeight="1">
      <c r="B222" s="22"/>
      <c r="C222" s="124" t="s">
        <v>375</v>
      </c>
      <c r="D222" s="124" t="s">
        <v>140</v>
      </c>
      <c r="E222" s="125" t="s">
        <v>376</v>
      </c>
      <c r="F222" s="200" t="s">
        <v>377</v>
      </c>
      <c r="G222" s="192"/>
      <c r="H222" s="192"/>
      <c r="I222" s="192"/>
      <c r="J222" s="126" t="s">
        <v>208</v>
      </c>
      <c r="K222" s="127">
        <v>151</v>
      </c>
      <c r="L222" s="201"/>
      <c r="M222" s="202"/>
      <c r="N222" s="193">
        <f>ROUND($L$222*$K$222,2)</f>
        <v>0</v>
      </c>
      <c r="O222" s="192"/>
      <c r="P222" s="192"/>
      <c r="Q222" s="192"/>
      <c r="R222" s="23"/>
      <c r="T222" s="128"/>
      <c r="U222" s="29" t="s">
        <v>36</v>
      </c>
      <c r="V222" s="129">
        <v>0.019</v>
      </c>
      <c r="W222" s="129">
        <f>$V$222*$K$222</f>
        <v>2.8689999999999998</v>
      </c>
      <c r="X222" s="129">
        <v>0</v>
      </c>
      <c r="Y222" s="129">
        <f>$X$222*$K$222</f>
        <v>0</v>
      </c>
      <c r="Z222" s="129">
        <v>0</v>
      </c>
      <c r="AA222" s="130">
        <f>$Z$222*$K$222</f>
        <v>0</v>
      </c>
      <c r="AR222" s="7" t="s">
        <v>144</v>
      </c>
      <c r="AT222" s="7" t="s">
        <v>140</v>
      </c>
      <c r="AU222" s="7" t="s">
        <v>100</v>
      </c>
      <c r="AY222" s="7" t="s">
        <v>139</v>
      </c>
      <c r="BE222" s="83">
        <f>IF($U$222="základní",$N$222,0)</f>
        <v>0</v>
      </c>
      <c r="BF222" s="83">
        <f>IF($U$222="snížená",$N$222,0)</f>
        <v>0</v>
      </c>
      <c r="BG222" s="83">
        <f>IF($U$222="zákl. přenesená",$N$222,0)</f>
        <v>0</v>
      </c>
      <c r="BH222" s="83">
        <f>IF($U$222="sníž. přenesená",$N$222,0)</f>
        <v>0</v>
      </c>
      <c r="BI222" s="83">
        <f>IF($U$222="nulová",$N$222,0)</f>
        <v>0</v>
      </c>
      <c r="BJ222" s="7" t="s">
        <v>17</v>
      </c>
      <c r="BK222" s="83">
        <f>ROUND($L$222*$K$222,2)</f>
        <v>0</v>
      </c>
      <c r="BL222" s="7" t="s">
        <v>144</v>
      </c>
    </row>
    <row r="223" spans="2:51" s="7" customFormat="1" ht="15.75" customHeight="1">
      <c r="B223" s="131"/>
      <c r="E223" s="132"/>
      <c r="F223" s="203" t="s">
        <v>378</v>
      </c>
      <c r="G223" s="204"/>
      <c r="H223" s="204"/>
      <c r="I223" s="204"/>
      <c r="K223" s="133">
        <v>151</v>
      </c>
      <c r="L223" s="151"/>
      <c r="M223" s="151"/>
      <c r="R223" s="134"/>
      <c r="T223" s="135"/>
      <c r="AA223" s="136"/>
      <c r="AT223" s="132" t="s">
        <v>148</v>
      </c>
      <c r="AU223" s="132" t="s">
        <v>100</v>
      </c>
      <c r="AV223" s="132" t="s">
        <v>100</v>
      </c>
      <c r="AW223" s="132" t="s">
        <v>109</v>
      </c>
      <c r="AX223" s="132" t="s">
        <v>17</v>
      </c>
      <c r="AY223" s="132" t="s">
        <v>139</v>
      </c>
    </row>
    <row r="224" spans="2:64" s="7" customFormat="1" ht="27" customHeight="1">
      <c r="B224" s="22"/>
      <c r="C224" s="124" t="s">
        <v>379</v>
      </c>
      <c r="D224" s="124" t="s">
        <v>140</v>
      </c>
      <c r="E224" s="125" t="s">
        <v>380</v>
      </c>
      <c r="F224" s="200" t="s">
        <v>381</v>
      </c>
      <c r="G224" s="192"/>
      <c r="H224" s="192"/>
      <c r="I224" s="192"/>
      <c r="J224" s="126" t="s">
        <v>208</v>
      </c>
      <c r="K224" s="127">
        <v>151</v>
      </c>
      <c r="L224" s="201"/>
      <c r="M224" s="202"/>
      <c r="N224" s="193">
        <f>ROUND($L$224*$K$224,2)</f>
        <v>0</v>
      </c>
      <c r="O224" s="192"/>
      <c r="P224" s="192"/>
      <c r="Q224" s="192"/>
      <c r="R224" s="23"/>
      <c r="T224" s="128"/>
      <c r="U224" s="29" t="s">
        <v>36</v>
      </c>
      <c r="V224" s="129">
        <v>0.028</v>
      </c>
      <c r="W224" s="129">
        <f>$V$224*$K$224</f>
        <v>4.228</v>
      </c>
      <c r="X224" s="129">
        <v>0</v>
      </c>
      <c r="Y224" s="129">
        <f>$X$224*$K$224</f>
        <v>0</v>
      </c>
      <c r="Z224" s="129">
        <v>0</v>
      </c>
      <c r="AA224" s="130">
        <f>$Z$224*$K$224</f>
        <v>0</v>
      </c>
      <c r="AR224" s="7" t="s">
        <v>144</v>
      </c>
      <c r="AT224" s="7" t="s">
        <v>140</v>
      </c>
      <c r="AU224" s="7" t="s">
        <v>100</v>
      </c>
      <c r="AY224" s="7" t="s">
        <v>139</v>
      </c>
      <c r="BE224" s="83">
        <f>IF($U$224="základní",$N$224,0)</f>
        <v>0</v>
      </c>
      <c r="BF224" s="83">
        <f>IF($U$224="snížená",$N$224,0)</f>
        <v>0</v>
      </c>
      <c r="BG224" s="83">
        <f>IF($U$224="zákl. přenesená",$N$224,0)</f>
        <v>0</v>
      </c>
      <c r="BH224" s="83">
        <f>IF($U$224="sníž. přenesená",$N$224,0)</f>
        <v>0</v>
      </c>
      <c r="BI224" s="83">
        <f>IF($U$224="nulová",$N$224,0)</f>
        <v>0</v>
      </c>
      <c r="BJ224" s="7" t="s">
        <v>17</v>
      </c>
      <c r="BK224" s="83">
        <f>ROUND($L$224*$K$224,2)</f>
        <v>0</v>
      </c>
      <c r="BL224" s="7" t="s">
        <v>144</v>
      </c>
    </row>
    <row r="225" spans="2:51" s="7" customFormat="1" ht="15.75" customHeight="1">
      <c r="B225" s="131"/>
      <c r="E225" s="132"/>
      <c r="F225" s="203" t="s">
        <v>378</v>
      </c>
      <c r="G225" s="204"/>
      <c r="H225" s="204"/>
      <c r="I225" s="204"/>
      <c r="K225" s="133">
        <v>151</v>
      </c>
      <c r="L225" s="151"/>
      <c r="M225" s="151"/>
      <c r="R225" s="134"/>
      <c r="T225" s="135"/>
      <c r="AA225" s="136"/>
      <c r="AT225" s="132" t="s">
        <v>148</v>
      </c>
      <c r="AU225" s="132" t="s">
        <v>100</v>
      </c>
      <c r="AV225" s="132" t="s">
        <v>100</v>
      </c>
      <c r="AW225" s="132" t="s">
        <v>109</v>
      </c>
      <c r="AX225" s="132" t="s">
        <v>17</v>
      </c>
      <c r="AY225" s="132" t="s">
        <v>139</v>
      </c>
    </row>
    <row r="226" spans="2:64" s="7" customFormat="1" ht="27" customHeight="1">
      <c r="B226" s="22"/>
      <c r="C226" s="124" t="s">
        <v>382</v>
      </c>
      <c r="D226" s="124" t="s">
        <v>140</v>
      </c>
      <c r="E226" s="125" t="s">
        <v>383</v>
      </c>
      <c r="F226" s="200" t="s">
        <v>384</v>
      </c>
      <c r="G226" s="192"/>
      <c r="H226" s="192"/>
      <c r="I226" s="192"/>
      <c r="J226" s="126" t="s">
        <v>208</v>
      </c>
      <c r="K226" s="127">
        <v>151</v>
      </c>
      <c r="L226" s="201"/>
      <c r="M226" s="202"/>
      <c r="N226" s="193">
        <f>ROUND($L$226*$K$226,2)</f>
        <v>0</v>
      </c>
      <c r="O226" s="192"/>
      <c r="P226" s="192"/>
      <c r="Q226" s="192"/>
      <c r="R226" s="23"/>
      <c r="T226" s="128"/>
      <c r="U226" s="29" t="s">
        <v>36</v>
      </c>
      <c r="V226" s="129">
        <v>0.027</v>
      </c>
      <c r="W226" s="129">
        <f>$V$226*$K$226</f>
        <v>4.077</v>
      </c>
      <c r="X226" s="129">
        <v>0</v>
      </c>
      <c r="Y226" s="129">
        <f>$X$226*$K$226</f>
        <v>0</v>
      </c>
      <c r="Z226" s="129">
        <v>0</v>
      </c>
      <c r="AA226" s="130">
        <f>$Z$226*$K$226</f>
        <v>0</v>
      </c>
      <c r="AR226" s="7" t="s">
        <v>144</v>
      </c>
      <c r="AT226" s="7" t="s">
        <v>140</v>
      </c>
      <c r="AU226" s="7" t="s">
        <v>100</v>
      </c>
      <c r="AY226" s="7" t="s">
        <v>139</v>
      </c>
      <c r="BE226" s="83">
        <f>IF($U$226="základní",$N$226,0)</f>
        <v>0</v>
      </c>
      <c r="BF226" s="83">
        <f>IF($U$226="snížená",$N$226,0)</f>
        <v>0</v>
      </c>
      <c r="BG226" s="83">
        <f>IF($U$226="zákl. přenesená",$N$226,0)</f>
        <v>0</v>
      </c>
      <c r="BH226" s="83">
        <f>IF($U$226="sníž. přenesená",$N$226,0)</f>
        <v>0</v>
      </c>
      <c r="BI226" s="83">
        <f>IF($U$226="nulová",$N$226,0)</f>
        <v>0</v>
      </c>
      <c r="BJ226" s="7" t="s">
        <v>17</v>
      </c>
      <c r="BK226" s="83">
        <f>ROUND($L$226*$K$226,2)</f>
        <v>0</v>
      </c>
      <c r="BL226" s="7" t="s">
        <v>144</v>
      </c>
    </row>
    <row r="227" spans="2:51" s="7" customFormat="1" ht="15.75" customHeight="1">
      <c r="B227" s="131"/>
      <c r="E227" s="132"/>
      <c r="F227" s="203" t="s">
        <v>378</v>
      </c>
      <c r="G227" s="204"/>
      <c r="H227" s="204"/>
      <c r="I227" s="204"/>
      <c r="K227" s="133">
        <v>151</v>
      </c>
      <c r="L227" s="151"/>
      <c r="M227" s="151"/>
      <c r="R227" s="134"/>
      <c r="T227" s="135"/>
      <c r="AA227" s="136"/>
      <c r="AT227" s="132" t="s">
        <v>148</v>
      </c>
      <c r="AU227" s="132" t="s">
        <v>100</v>
      </c>
      <c r="AV227" s="132" t="s">
        <v>100</v>
      </c>
      <c r="AW227" s="132" t="s">
        <v>109</v>
      </c>
      <c r="AX227" s="132" t="s">
        <v>17</v>
      </c>
      <c r="AY227" s="132" t="s">
        <v>139</v>
      </c>
    </row>
    <row r="228" spans="2:64" s="7" customFormat="1" ht="27" customHeight="1">
      <c r="B228" s="22"/>
      <c r="C228" s="124" t="s">
        <v>385</v>
      </c>
      <c r="D228" s="124" t="s">
        <v>140</v>
      </c>
      <c r="E228" s="125" t="s">
        <v>386</v>
      </c>
      <c r="F228" s="200" t="s">
        <v>387</v>
      </c>
      <c r="G228" s="192"/>
      <c r="H228" s="192"/>
      <c r="I228" s="192"/>
      <c r="J228" s="126" t="s">
        <v>208</v>
      </c>
      <c r="K228" s="127">
        <v>563.16</v>
      </c>
      <c r="L228" s="201"/>
      <c r="M228" s="202"/>
      <c r="N228" s="193">
        <f>ROUND($L$228*$K$228,2)</f>
        <v>0</v>
      </c>
      <c r="O228" s="192"/>
      <c r="P228" s="192"/>
      <c r="Q228" s="192"/>
      <c r="R228" s="23"/>
      <c r="T228" s="128"/>
      <c r="U228" s="29" t="s">
        <v>36</v>
      </c>
      <c r="V228" s="129">
        <v>0.002</v>
      </c>
      <c r="W228" s="129">
        <f>$V$228*$K$228</f>
        <v>1.12632</v>
      </c>
      <c r="X228" s="129">
        <v>0.00061</v>
      </c>
      <c r="Y228" s="129">
        <f>$X$228*$K$228</f>
        <v>0.3435276</v>
      </c>
      <c r="Z228" s="129">
        <v>0</v>
      </c>
      <c r="AA228" s="130">
        <f>$Z$228*$K$228</f>
        <v>0</v>
      </c>
      <c r="AR228" s="7" t="s">
        <v>144</v>
      </c>
      <c r="AT228" s="7" t="s">
        <v>140</v>
      </c>
      <c r="AU228" s="7" t="s">
        <v>100</v>
      </c>
      <c r="AY228" s="7" t="s">
        <v>139</v>
      </c>
      <c r="BE228" s="83">
        <f>IF($U$228="základní",$N$228,0)</f>
        <v>0</v>
      </c>
      <c r="BF228" s="83">
        <f>IF($U$228="snížená",$N$228,0)</f>
        <v>0</v>
      </c>
      <c r="BG228" s="83">
        <f>IF($U$228="zákl. přenesená",$N$228,0)</f>
        <v>0</v>
      </c>
      <c r="BH228" s="83">
        <f>IF($U$228="sníž. přenesená",$N$228,0)</f>
        <v>0</v>
      </c>
      <c r="BI228" s="83">
        <f>IF($U$228="nulová",$N$228,0)</f>
        <v>0</v>
      </c>
      <c r="BJ228" s="7" t="s">
        <v>17</v>
      </c>
      <c r="BK228" s="83">
        <f>ROUND($L$228*$K$228,2)</f>
        <v>0</v>
      </c>
      <c r="BL228" s="7" t="s">
        <v>144</v>
      </c>
    </row>
    <row r="229" spans="2:51" s="7" customFormat="1" ht="15.75" customHeight="1">
      <c r="B229" s="131"/>
      <c r="E229" s="132"/>
      <c r="F229" s="203" t="s">
        <v>388</v>
      </c>
      <c r="G229" s="204"/>
      <c r="H229" s="204"/>
      <c r="I229" s="204"/>
      <c r="K229" s="133">
        <v>563.16</v>
      </c>
      <c r="L229" s="151"/>
      <c r="M229" s="151"/>
      <c r="R229" s="134"/>
      <c r="T229" s="135"/>
      <c r="AA229" s="136"/>
      <c r="AT229" s="132" t="s">
        <v>148</v>
      </c>
      <c r="AU229" s="132" t="s">
        <v>100</v>
      </c>
      <c r="AV229" s="132" t="s">
        <v>100</v>
      </c>
      <c r="AW229" s="132" t="s">
        <v>109</v>
      </c>
      <c r="AX229" s="132" t="s">
        <v>17</v>
      </c>
      <c r="AY229" s="132" t="s">
        <v>139</v>
      </c>
    </row>
    <row r="230" spans="2:64" s="7" customFormat="1" ht="27" customHeight="1">
      <c r="B230" s="22"/>
      <c r="C230" s="124" t="s">
        <v>389</v>
      </c>
      <c r="D230" s="124" t="s">
        <v>140</v>
      </c>
      <c r="E230" s="125" t="s">
        <v>390</v>
      </c>
      <c r="F230" s="200" t="s">
        <v>391</v>
      </c>
      <c r="G230" s="192"/>
      <c r="H230" s="192"/>
      <c r="I230" s="192"/>
      <c r="J230" s="126" t="s">
        <v>208</v>
      </c>
      <c r="K230" s="127">
        <v>187.72</v>
      </c>
      <c r="L230" s="201"/>
      <c r="M230" s="202"/>
      <c r="N230" s="193">
        <f>ROUND($L$230*$K$230,2)</f>
        <v>0</v>
      </c>
      <c r="O230" s="192"/>
      <c r="P230" s="192"/>
      <c r="Q230" s="192"/>
      <c r="R230" s="23"/>
      <c r="T230" s="128"/>
      <c r="U230" s="29" t="s">
        <v>36</v>
      </c>
      <c r="V230" s="129">
        <v>0.009</v>
      </c>
      <c r="W230" s="129">
        <f>$V$230*$K$230</f>
        <v>1.6894799999999999</v>
      </c>
      <c r="X230" s="129">
        <v>0</v>
      </c>
      <c r="Y230" s="129">
        <f>$X$230*$K$230</f>
        <v>0</v>
      </c>
      <c r="Z230" s="129">
        <v>0</v>
      </c>
      <c r="AA230" s="130">
        <f>$Z$230*$K$230</f>
        <v>0</v>
      </c>
      <c r="AR230" s="7" t="s">
        <v>144</v>
      </c>
      <c r="AT230" s="7" t="s">
        <v>140</v>
      </c>
      <c r="AU230" s="7" t="s">
        <v>100</v>
      </c>
      <c r="AY230" s="7" t="s">
        <v>139</v>
      </c>
      <c r="BE230" s="83">
        <f>IF($U$230="základní",$N$230,0)</f>
        <v>0</v>
      </c>
      <c r="BF230" s="83">
        <f>IF($U$230="snížená",$N$230,0)</f>
        <v>0</v>
      </c>
      <c r="BG230" s="83">
        <f>IF($U$230="zákl. přenesená",$N$230,0)</f>
        <v>0</v>
      </c>
      <c r="BH230" s="83">
        <f>IF($U$230="sníž. přenesená",$N$230,0)</f>
        <v>0</v>
      </c>
      <c r="BI230" s="83">
        <f>IF($U$230="nulová",$N$230,0)</f>
        <v>0</v>
      </c>
      <c r="BJ230" s="7" t="s">
        <v>17</v>
      </c>
      <c r="BK230" s="83">
        <f>ROUND($L$230*$K$230,2)</f>
        <v>0</v>
      </c>
      <c r="BL230" s="7" t="s">
        <v>144</v>
      </c>
    </row>
    <row r="231" spans="2:51" s="7" customFormat="1" ht="15.75" customHeight="1">
      <c r="B231" s="131"/>
      <c r="E231" s="132"/>
      <c r="F231" s="203" t="s">
        <v>392</v>
      </c>
      <c r="G231" s="204"/>
      <c r="H231" s="204"/>
      <c r="I231" s="204"/>
      <c r="K231" s="133">
        <v>36.72</v>
      </c>
      <c r="L231" s="151"/>
      <c r="M231" s="151"/>
      <c r="R231" s="134"/>
      <c r="T231" s="135"/>
      <c r="AA231" s="136"/>
      <c r="AT231" s="132" t="s">
        <v>148</v>
      </c>
      <c r="AU231" s="132" t="s">
        <v>100</v>
      </c>
      <c r="AV231" s="132" t="s">
        <v>100</v>
      </c>
      <c r="AW231" s="132" t="s">
        <v>109</v>
      </c>
      <c r="AX231" s="132" t="s">
        <v>71</v>
      </c>
      <c r="AY231" s="132" t="s">
        <v>139</v>
      </c>
    </row>
    <row r="232" spans="2:51" s="7" customFormat="1" ht="15.75" customHeight="1">
      <c r="B232" s="131"/>
      <c r="E232" s="132"/>
      <c r="F232" s="203" t="s">
        <v>393</v>
      </c>
      <c r="G232" s="204"/>
      <c r="H232" s="204"/>
      <c r="I232" s="204"/>
      <c r="K232" s="133">
        <v>151</v>
      </c>
      <c r="L232" s="151"/>
      <c r="M232" s="151"/>
      <c r="R232" s="134"/>
      <c r="T232" s="135"/>
      <c r="AA232" s="136"/>
      <c r="AT232" s="132" t="s">
        <v>148</v>
      </c>
      <c r="AU232" s="132" t="s">
        <v>100</v>
      </c>
      <c r="AV232" s="132" t="s">
        <v>100</v>
      </c>
      <c r="AW232" s="132" t="s">
        <v>109</v>
      </c>
      <c r="AX232" s="132" t="s">
        <v>71</v>
      </c>
      <c r="AY232" s="132" t="s">
        <v>139</v>
      </c>
    </row>
    <row r="233" spans="2:51" s="7" customFormat="1" ht="15.75" customHeight="1">
      <c r="B233" s="137"/>
      <c r="E233" s="138"/>
      <c r="F233" s="206" t="s">
        <v>156</v>
      </c>
      <c r="G233" s="207"/>
      <c r="H233" s="207"/>
      <c r="I233" s="207"/>
      <c r="K233" s="139">
        <v>187.72</v>
      </c>
      <c r="L233" s="151"/>
      <c r="M233" s="151"/>
      <c r="R233" s="140"/>
      <c r="T233" s="141"/>
      <c r="AA233" s="142"/>
      <c r="AT233" s="138" t="s">
        <v>148</v>
      </c>
      <c r="AU233" s="138" t="s">
        <v>100</v>
      </c>
      <c r="AV233" s="138" t="s">
        <v>144</v>
      </c>
      <c r="AW233" s="138" t="s">
        <v>109</v>
      </c>
      <c r="AX233" s="138" t="s">
        <v>17</v>
      </c>
      <c r="AY233" s="138" t="s">
        <v>139</v>
      </c>
    </row>
    <row r="234" spans="2:64" s="7" customFormat="1" ht="27" customHeight="1">
      <c r="B234" s="22"/>
      <c r="C234" s="124" t="s">
        <v>394</v>
      </c>
      <c r="D234" s="124" t="s">
        <v>140</v>
      </c>
      <c r="E234" s="125" t="s">
        <v>395</v>
      </c>
      <c r="F234" s="200" t="s">
        <v>396</v>
      </c>
      <c r="G234" s="192"/>
      <c r="H234" s="192"/>
      <c r="I234" s="192"/>
      <c r="J234" s="126" t="s">
        <v>208</v>
      </c>
      <c r="K234" s="127">
        <v>187.72</v>
      </c>
      <c r="L234" s="201"/>
      <c r="M234" s="202"/>
      <c r="N234" s="193">
        <f>ROUND($L$234*$K$234,2)</f>
        <v>0</v>
      </c>
      <c r="O234" s="192"/>
      <c r="P234" s="192"/>
      <c r="Q234" s="192"/>
      <c r="R234" s="23"/>
      <c r="T234" s="128"/>
      <c r="U234" s="29" t="s">
        <v>36</v>
      </c>
      <c r="V234" s="129">
        <v>0.015</v>
      </c>
      <c r="W234" s="129">
        <f>$V$234*$K$234</f>
        <v>2.8158</v>
      </c>
      <c r="X234" s="129">
        <v>0</v>
      </c>
      <c r="Y234" s="129">
        <f>$X$234*$K$234</f>
        <v>0</v>
      </c>
      <c r="Z234" s="129">
        <v>0</v>
      </c>
      <c r="AA234" s="130">
        <f>$Z$234*$K$234</f>
        <v>0</v>
      </c>
      <c r="AR234" s="7" t="s">
        <v>144</v>
      </c>
      <c r="AT234" s="7" t="s">
        <v>140</v>
      </c>
      <c r="AU234" s="7" t="s">
        <v>100</v>
      </c>
      <c r="AY234" s="7" t="s">
        <v>139</v>
      </c>
      <c r="BE234" s="83">
        <f>IF($U$234="základní",$N$234,0)</f>
        <v>0</v>
      </c>
      <c r="BF234" s="83">
        <f>IF($U$234="snížená",$N$234,0)</f>
        <v>0</v>
      </c>
      <c r="BG234" s="83">
        <f>IF($U$234="zákl. přenesená",$N$234,0)</f>
        <v>0</v>
      </c>
      <c r="BH234" s="83">
        <f>IF($U$234="sníž. přenesená",$N$234,0)</f>
        <v>0</v>
      </c>
      <c r="BI234" s="83">
        <f>IF($U$234="nulová",$N$234,0)</f>
        <v>0</v>
      </c>
      <c r="BJ234" s="7" t="s">
        <v>17</v>
      </c>
      <c r="BK234" s="83">
        <f>ROUND($L$234*$K$234,2)</f>
        <v>0</v>
      </c>
      <c r="BL234" s="7" t="s">
        <v>144</v>
      </c>
    </row>
    <row r="235" spans="2:51" s="7" customFormat="1" ht="15.75" customHeight="1">
      <c r="B235" s="131"/>
      <c r="E235" s="132"/>
      <c r="F235" s="203" t="s">
        <v>392</v>
      </c>
      <c r="G235" s="204"/>
      <c r="H235" s="204"/>
      <c r="I235" s="204"/>
      <c r="K235" s="133">
        <v>36.72</v>
      </c>
      <c r="L235" s="151"/>
      <c r="M235" s="151"/>
      <c r="R235" s="134"/>
      <c r="T235" s="135"/>
      <c r="AA235" s="136"/>
      <c r="AT235" s="132" t="s">
        <v>148</v>
      </c>
      <c r="AU235" s="132" t="s">
        <v>100</v>
      </c>
      <c r="AV235" s="132" t="s">
        <v>100</v>
      </c>
      <c r="AW235" s="132" t="s">
        <v>109</v>
      </c>
      <c r="AX235" s="132" t="s">
        <v>71</v>
      </c>
      <c r="AY235" s="132" t="s">
        <v>139</v>
      </c>
    </row>
    <row r="236" spans="2:51" s="7" customFormat="1" ht="15.75" customHeight="1">
      <c r="B236" s="131"/>
      <c r="E236" s="132"/>
      <c r="F236" s="203" t="s">
        <v>393</v>
      </c>
      <c r="G236" s="204"/>
      <c r="H236" s="204"/>
      <c r="I236" s="204"/>
      <c r="K236" s="133">
        <v>151</v>
      </c>
      <c r="L236" s="151"/>
      <c r="M236" s="151"/>
      <c r="R236" s="134"/>
      <c r="T236" s="135"/>
      <c r="AA236" s="136"/>
      <c r="AT236" s="132" t="s">
        <v>148</v>
      </c>
      <c r="AU236" s="132" t="s">
        <v>100</v>
      </c>
      <c r="AV236" s="132" t="s">
        <v>100</v>
      </c>
      <c r="AW236" s="132" t="s">
        <v>109</v>
      </c>
      <c r="AX236" s="132" t="s">
        <v>71</v>
      </c>
      <c r="AY236" s="132" t="s">
        <v>139</v>
      </c>
    </row>
    <row r="237" spans="2:51" s="7" customFormat="1" ht="15.75" customHeight="1">
      <c r="B237" s="137"/>
      <c r="E237" s="138"/>
      <c r="F237" s="206" t="s">
        <v>156</v>
      </c>
      <c r="G237" s="207"/>
      <c r="H237" s="207"/>
      <c r="I237" s="207"/>
      <c r="K237" s="139">
        <v>187.72</v>
      </c>
      <c r="L237" s="151"/>
      <c r="M237" s="151"/>
      <c r="R237" s="140"/>
      <c r="T237" s="141"/>
      <c r="AA237" s="142"/>
      <c r="AT237" s="138" t="s">
        <v>148</v>
      </c>
      <c r="AU237" s="138" t="s">
        <v>100</v>
      </c>
      <c r="AV237" s="138" t="s">
        <v>144</v>
      </c>
      <c r="AW237" s="138" t="s">
        <v>109</v>
      </c>
      <c r="AX237" s="138" t="s">
        <v>17</v>
      </c>
      <c r="AY237" s="138" t="s">
        <v>139</v>
      </c>
    </row>
    <row r="238" spans="2:64" s="7" customFormat="1" ht="27" customHeight="1">
      <c r="B238" s="22"/>
      <c r="C238" s="124" t="s">
        <v>397</v>
      </c>
      <c r="D238" s="124" t="s">
        <v>140</v>
      </c>
      <c r="E238" s="125" t="s">
        <v>398</v>
      </c>
      <c r="F238" s="200" t="s">
        <v>399</v>
      </c>
      <c r="G238" s="192"/>
      <c r="H238" s="192"/>
      <c r="I238" s="192"/>
      <c r="J238" s="126" t="s">
        <v>208</v>
      </c>
      <c r="K238" s="127">
        <v>36.72</v>
      </c>
      <c r="L238" s="201"/>
      <c r="M238" s="202"/>
      <c r="N238" s="193">
        <f>ROUND($L$238*$K$238,2)</f>
        <v>0</v>
      </c>
      <c r="O238" s="192"/>
      <c r="P238" s="192"/>
      <c r="Q238" s="192"/>
      <c r="R238" s="23"/>
      <c r="T238" s="128"/>
      <c r="U238" s="29" t="s">
        <v>36</v>
      </c>
      <c r="V238" s="129">
        <v>0.011</v>
      </c>
      <c r="W238" s="129">
        <f>$V$238*$K$238</f>
        <v>0.40391999999999995</v>
      </c>
      <c r="X238" s="129">
        <v>0</v>
      </c>
      <c r="Y238" s="129">
        <f>$X$238*$K$238</f>
        <v>0</v>
      </c>
      <c r="Z238" s="129">
        <v>0</v>
      </c>
      <c r="AA238" s="130">
        <f>$Z$238*$K$238</f>
        <v>0</v>
      </c>
      <c r="AR238" s="7" t="s">
        <v>144</v>
      </c>
      <c r="AT238" s="7" t="s">
        <v>140</v>
      </c>
      <c r="AU238" s="7" t="s">
        <v>100</v>
      </c>
      <c r="AY238" s="7" t="s">
        <v>139</v>
      </c>
      <c r="BE238" s="83">
        <f>IF($U$238="základní",$N$238,0)</f>
        <v>0</v>
      </c>
      <c r="BF238" s="83">
        <f>IF($U$238="snížená",$N$238,0)</f>
        <v>0</v>
      </c>
      <c r="BG238" s="83">
        <f>IF($U$238="zákl. přenesená",$N$238,0)</f>
        <v>0</v>
      </c>
      <c r="BH238" s="83">
        <f>IF($U$238="sníž. přenesená",$N$238,0)</f>
        <v>0</v>
      </c>
      <c r="BI238" s="83">
        <f>IF($U$238="nulová",$N$238,0)</f>
        <v>0</v>
      </c>
      <c r="BJ238" s="7" t="s">
        <v>17</v>
      </c>
      <c r="BK238" s="83">
        <f>ROUND($L$238*$K$238,2)</f>
        <v>0</v>
      </c>
      <c r="BL238" s="7" t="s">
        <v>144</v>
      </c>
    </row>
    <row r="239" spans="2:51" s="7" customFormat="1" ht="15.75" customHeight="1">
      <c r="B239" s="131"/>
      <c r="E239" s="132"/>
      <c r="F239" s="203" t="s">
        <v>392</v>
      </c>
      <c r="G239" s="204"/>
      <c r="H239" s="204"/>
      <c r="I239" s="204"/>
      <c r="K239" s="133">
        <v>36.72</v>
      </c>
      <c r="L239" s="151"/>
      <c r="M239" s="151"/>
      <c r="R239" s="134"/>
      <c r="T239" s="135"/>
      <c r="AA239" s="136"/>
      <c r="AT239" s="132" t="s">
        <v>148</v>
      </c>
      <c r="AU239" s="132" t="s">
        <v>100</v>
      </c>
      <c r="AV239" s="132" t="s">
        <v>100</v>
      </c>
      <c r="AW239" s="132" t="s">
        <v>109</v>
      </c>
      <c r="AX239" s="132" t="s">
        <v>17</v>
      </c>
      <c r="AY239" s="132" t="s">
        <v>139</v>
      </c>
    </row>
    <row r="240" spans="2:63" s="114" customFormat="1" ht="30.75" customHeight="1">
      <c r="B240" s="115"/>
      <c r="D240" s="123" t="s">
        <v>202</v>
      </c>
      <c r="L240" s="152"/>
      <c r="M240" s="152"/>
      <c r="N240" s="197">
        <f>$BK$240</f>
        <v>0</v>
      </c>
      <c r="O240" s="196"/>
      <c r="P240" s="196"/>
      <c r="Q240" s="196"/>
      <c r="R240" s="118"/>
      <c r="T240" s="119"/>
      <c r="W240" s="120">
        <f>SUM($W$241:$W$246)</f>
        <v>30.355169999999998</v>
      </c>
      <c r="Y240" s="120">
        <f>SUM($Y$241:$Y$246)</f>
        <v>0.10173083999999999</v>
      </c>
      <c r="AA240" s="121">
        <f>SUM($AA$241:$AA$246)</f>
        <v>0</v>
      </c>
      <c r="AR240" s="117" t="s">
        <v>17</v>
      </c>
      <c r="AT240" s="117" t="s">
        <v>70</v>
      </c>
      <c r="AU240" s="117" t="s">
        <v>17</v>
      </c>
      <c r="AY240" s="117" t="s">
        <v>139</v>
      </c>
      <c r="BK240" s="122">
        <f>SUM($BK$241:$BK$246)</f>
        <v>0</v>
      </c>
    </row>
    <row r="241" spans="2:64" s="7" customFormat="1" ht="27" customHeight="1">
      <c r="B241" s="22"/>
      <c r="C241" s="124" t="s">
        <v>400</v>
      </c>
      <c r="D241" s="124" t="s">
        <v>140</v>
      </c>
      <c r="E241" s="125" t="s">
        <v>401</v>
      </c>
      <c r="F241" s="200" t="s">
        <v>402</v>
      </c>
      <c r="G241" s="192"/>
      <c r="H241" s="192"/>
      <c r="I241" s="192"/>
      <c r="J241" s="126" t="s">
        <v>208</v>
      </c>
      <c r="K241" s="127">
        <v>82.041</v>
      </c>
      <c r="L241" s="201"/>
      <c r="M241" s="202"/>
      <c r="N241" s="193">
        <f>ROUND($L$241*$K$241,2)</f>
        <v>0</v>
      </c>
      <c r="O241" s="192"/>
      <c r="P241" s="192"/>
      <c r="Q241" s="192"/>
      <c r="R241" s="23"/>
      <c r="T241" s="128"/>
      <c r="U241" s="29" t="s">
        <v>36</v>
      </c>
      <c r="V241" s="129">
        <v>0.08</v>
      </c>
      <c r="W241" s="129">
        <f>$V$241*$K$241</f>
        <v>6.56328</v>
      </c>
      <c r="X241" s="129">
        <v>0.00042</v>
      </c>
      <c r="Y241" s="129">
        <f>$X$241*$K$241</f>
        <v>0.03445722</v>
      </c>
      <c r="Z241" s="129">
        <v>0</v>
      </c>
      <c r="AA241" s="130">
        <f>$Z$241*$K$241</f>
        <v>0</v>
      </c>
      <c r="AR241" s="7" t="s">
        <v>144</v>
      </c>
      <c r="AT241" s="7" t="s">
        <v>140</v>
      </c>
      <c r="AU241" s="7" t="s">
        <v>100</v>
      </c>
      <c r="AY241" s="7" t="s">
        <v>139</v>
      </c>
      <c r="BE241" s="83">
        <f>IF($U$241="základní",$N$241,0)</f>
        <v>0</v>
      </c>
      <c r="BF241" s="83">
        <f>IF($U$241="snížená",$N$241,0)</f>
        <v>0</v>
      </c>
      <c r="BG241" s="83">
        <f>IF($U$241="zákl. přenesená",$N$241,0)</f>
        <v>0</v>
      </c>
      <c r="BH241" s="83">
        <f>IF($U$241="sníž. přenesená",$N$241,0)</f>
        <v>0</v>
      </c>
      <c r="BI241" s="83">
        <f>IF($U$241="nulová",$N$241,0)</f>
        <v>0</v>
      </c>
      <c r="BJ241" s="7" t="s">
        <v>17</v>
      </c>
      <c r="BK241" s="83">
        <f>ROUND($L$241*$K$241,2)</f>
        <v>0</v>
      </c>
      <c r="BL241" s="7" t="s">
        <v>144</v>
      </c>
    </row>
    <row r="242" spans="2:51" s="7" customFormat="1" ht="15.75" customHeight="1">
      <c r="B242" s="131"/>
      <c r="E242" s="132"/>
      <c r="F242" s="203" t="s">
        <v>403</v>
      </c>
      <c r="G242" s="204"/>
      <c r="H242" s="204"/>
      <c r="I242" s="204"/>
      <c r="K242" s="133">
        <v>9.151</v>
      </c>
      <c r="L242" s="151"/>
      <c r="M242" s="151"/>
      <c r="R242" s="134"/>
      <c r="T242" s="135"/>
      <c r="AA242" s="136"/>
      <c r="AT242" s="132" t="s">
        <v>148</v>
      </c>
      <c r="AU242" s="132" t="s">
        <v>100</v>
      </c>
      <c r="AV242" s="132" t="s">
        <v>100</v>
      </c>
      <c r="AW242" s="132" t="s">
        <v>109</v>
      </c>
      <c r="AX242" s="132" t="s">
        <v>71</v>
      </c>
      <c r="AY242" s="132" t="s">
        <v>139</v>
      </c>
    </row>
    <row r="243" spans="2:51" s="7" customFormat="1" ht="15.75" customHeight="1">
      <c r="B243" s="131"/>
      <c r="E243" s="132"/>
      <c r="F243" s="203" t="s">
        <v>404</v>
      </c>
      <c r="G243" s="204"/>
      <c r="H243" s="204"/>
      <c r="I243" s="204"/>
      <c r="K243" s="133">
        <v>34.81</v>
      </c>
      <c r="L243" s="151"/>
      <c r="M243" s="151"/>
      <c r="R243" s="134"/>
      <c r="T243" s="135"/>
      <c r="AA243" s="136"/>
      <c r="AT243" s="132" t="s">
        <v>148</v>
      </c>
      <c r="AU243" s="132" t="s">
        <v>100</v>
      </c>
      <c r="AV243" s="132" t="s">
        <v>100</v>
      </c>
      <c r="AW243" s="132" t="s">
        <v>109</v>
      </c>
      <c r="AX243" s="132" t="s">
        <v>71</v>
      </c>
      <c r="AY243" s="132" t="s">
        <v>139</v>
      </c>
    </row>
    <row r="244" spans="2:51" s="7" customFormat="1" ht="15.75" customHeight="1">
      <c r="B244" s="131"/>
      <c r="E244" s="132"/>
      <c r="F244" s="203" t="s">
        <v>405</v>
      </c>
      <c r="G244" s="204"/>
      <c r="H244" s="204"/>
      <c r="I244" s="204"/>
      <c r="K244" s="133">
        <v>38.08</v>
      </c>
      <c r="L244" s="151"/>
      <c r="M244" s="151"/>
      <c r="R244" s="134"/>
      <c r="T244" s="135"/>
      <c r="AA244" s="136"/>
      <c r="AT244" s="132" t="s">
        <v>148</v>
      </c>
      <c r="AU244" s="132" t="s">
        <v>100</v>
      </c>
      <c r="AV244" s="132" t="s">
        <v>100</v>
      </c>
      <c r="AW244" s="132" t="s">
        <v>109</v>
      </c>
      <c r="AX244" s="132" t="s">
        <v>71</v>
      </c>
      <c r="AY244" s="132" t="s">
        <v>139</v>
      </c>
    </row>
    <row r="245" spans="2:51" s="7" customFormat="1" ht="15.75" customHeight="1">
      <c r="B245" s="137"/>
      <c r="E245" s="138"/>
      <c r="F245" s="206" t="s">
        <v>156</v>
      </c>
      <c r="G245" s="207"/>
      <c r="H245" s="207"/>
      <c r="I245" s="207"/>
      <c r="K245" s="139">
        <v>82.041</v>
      </c>
      <c r="L245" s="151"/>
      <c r="M245" s="151"/>
      <c r="R245" s="140"/>
      <c r="T245" s="141"/>
      <c r="AA245" s="142"/>
      <c r="AT245" s="138" t="s">
        <v>148</v>
      </c>
      <c r="AU245" s="138" t="s">
        <v>100</v>
      </c>
      <c r="AV245" s="138" t="s">
        <v>144</v>
      </c>
      <c r="AW245" s="138" t="s">
        <v>109</v>
      </c>
      <c r="AX245" s="138" t="s">
        <v>17</v>
      </c>
      <c r="AY245" s="138" t="s">
        <v>139</v>
      </c>
    </row>
    <row r="246" spans="2:64" s="7" customFormat="1" ht="27" customHeight="1">
      <c r="B246" s="22"/>
      <c r="C246" s="124" t="s">
        <v>406</v>
      </c>
      <c r="D246" s="124" t="s">
        <v>140</v>
      </c>
      <c r="E246" s="125" t="s">
        <v>407</v>
      </c>
      <c r="F246" s="200" t="s">
        <v>408</v>
      </c>
      <c r="G246" s="192"/>
      <c r="H246" s="192"/>
      <c r="I246" s="192"/>
      <c r="J246" s="126" t="s">
        <v>208</v>
      </c>
      <c r="K246" s="127">
        <v>82.041</v>
      </c>
      <c r="L246" s="201"/>
      <c r="M246" s="202"/>
      <c r="N246" s="193">
        <f>ROUND($L$246*$K$246,2)</f>
        <v>0</v>
      </c>
      <c r="O246" s="192"/>
      <c r="P246" s="192"/>
      <c r="Q246" s="192"/>
      <c r="R246" s="23"/>
      <c r="T246" s="128"/>
      <c r="U246" s="29" t="s">
        <v>36</v>
      </c>
      <c r="V246" s="129">
        <v>0.29</v>
      </c>
      <c r="W246" s="129">
        <f>$V$246*$K$246</f>
        <v>23.79189</v>
      </c>
      <c r="X246" s="129">
        <v>0.00082</v>
      </c>
      <c r="Y246" s="129">
        <f>$X$246*$K$246</f>
        <v>0.06727361999999999</v>
      </c>
      <c r="Z246" s="129">
        <v>0</v>
      </c>
      <c r="AA246" s="130">
        <f>$Z$246*$K$246</f>
        <v>0</v>
      </c>
      <c r="AR246" s="7" t="s">
        <v>144</v>
      </c>
      <c r="AT246" s="7" t="s">
        <v>140</v>
      </c>
      <c r="AU246" s="7" t="s">
        <v>100</v>
      </c>
      <c r="AY246" s="7" t="s">
        <v>139</v>
      </c>
      <c r="BE246" s="83">
        <f>IF($U$246="základní",$N$246,0)</f>
        <v>0</v>
      </c>
      <c r="BF246" s="83">
        <f>IF($U$246="snížená",$N$246,0)</f>
        <v>0</v>
      </c>
      <c r="BG246" s="83">
        <f>IF($U$246="zákl. přenesená",$N$246,0)</f>
        <v>0</v>
      </c>
      <c r="BH246" s="83">
        <f>IF($U$246="sníž. přenesená",$N$246,0)</f>
        <v>0</v>
      </c>
      <c r="BI246" s="83">
        <f>IF($U$246="nulová",$N$246,0)</f>
        <v>0</v>
      </c>
      <c r="BJ246" s="7" t="s">
        <v>17</v>
      </c>
      <c r="BK246" s="83">
        <f>ROUND($L$246*$K$246,2)</f>
        <v>0</v>
      </c>
      <c r="BL246" s="7" t="s">
        <v>144</v>
      </c>
    </row>
    <row r="247" spans="2:63" s="114" customFormat="1" ht="30.75" customHeight="1">
      <c r="B247" s="115"/>
      <c r="D247" s="123" t="s">
        <v>111</v>
      </c>
      <c r="L247" s="152"/>
      <c r="M247" s="152"/>
      <c r="N247" s="197">
        <f>$BK$247</f>
        <v>0</v>
      </c>
      <c r="O247" s="196"/>
      <c r="P247" s="196"/>
      <c r="Q247" s="196"/>
      <c r="R247" s="118"/>
      <c r="T247" s="119"/>
      <c r="W247" s="120">
        <f>$W$248+SUM($W$249:$W$285)</f>
        <v>692.3385059999999</v>
      </c>
      <c r="Y247" s="120">
        <f>$Y$248+SUM($Y$249:$Y$285)</f>
        <v>5.6801089199999995</v>
      </c>
      <c r="AA247" s="121">
        <f>$AA$248+SUM($AA$249:$AA$285)</f>
        <v>61.207956</v>
      </c>
      <c r="AR247" s="117" t="s">
        <v>17</v>
      </c>
      <c r="AT247" s="117" t="s">
        <v>70</v>
      </c>
      <c r="AU247" s="117" t="s">
        <v>17</v>
      </c>
      <c r="AY247" s="117" t="s">
        <v>139</v>
      </c>
      <c r="BK247" s="122">
        <f>$BK$248+SUM($BK$249:$BK$285)</f>
        <v>0</v>
      </c>
    </row>
    <row r="248" spans="2:64" s="7" customFormat="1" ht="27" customHeight="1">
      <c r="B248" s="22"/>
      <c r="C248" s="124" t="s">
        <v>409</v>
      </c>
      <c r="D248" s="124" t="s">
        <v>140</v>
      </c>
      <c r="E248" s="125" t="s">
        <v>410</v>
      </c>
      <c r="F248" s="200" t="s">
        <v>411</v>
      </c>
      <c r="G248" s="192"/>
      <c r="H248" s="192"/>
      <c r="I248" s="192"/>
      <c r="J248" s="126" t="s">
        <v>143</v>
      </c>
      <c r="K248" s="127">
        <v>2</v>
      </c>
      <c r="L248" s="201"/>
      <c r="M248" s="202"/>
      <c r="N248" s="193">
        <f>ROUND($L$248*$K$248,2)</f>
        <v>0</v>
      </c>
      <c r="O248" s="192"/>
      <c r="P248" s="192"/>
      <c r="Q248" s="192"/>
      <c r="R248" s="23"/>
      <c r="T248" s="128"/>
      <c r="U248" s="29" t="s">
        <v>36</v>
      </c>
      <c r="V248" s="129">
        <v>0.2</v>
      </c>
      <c r="W248" s="129">
        <f>$V$248*$K$248</f>
        <v>0.4</v>
      </c>
      <c r="X248" s="129">
        <v>0.0007</v>
      </c>
      <c r="Y248" s="129">
        <f>$X$248*$K$248</f>
        <v>0.0014</v>
      </c>
      <c r="Z248" s="129">
        <v>0</v>
      </c>
      <c r="AA248" s="130">
        <f>$Z$248*$K$248</f>
        <v>0</v>
      </c>
      <c r="AR248" s="7" t="s">
        <v>144</v>
      </c>
      <c r="AT248" s="7" t="s">
        <v>140</v>
      </c>
      <c r="AU248" s="7" t="s">
        <v>100</v>
      </c>
      <c r="AY248" s="7" t="s">
        <v>139</v>
      </c>
      <c r="BE248" s="83">
        <f>IF($U$248="základní",$N$248,0)</f>
        <v>0</v>
      </c>
      <c r="BF248" s="83">
        <f>IF($U$248="snížená",$N$248,0)</f>
        <v>0</v>
      </c>
      <c r="BG248" s="83">
        <f>IF($U$248="zákl. přenesená",$N$248,0)</f>
        <v>0</v>
      </c>
      <c r="BH248" s="83">
        <f>IF($U$248="sníž. přenesená",$N$248,0)</f>
        <v>0</v>
      </c>
      <c r="BI248" s="83">
        <f>IF($U$248="nulová",$N$248,0)</f>
        <v>0</v>
      </c>
      <c r="BJ248" s="7" t="s">
        <v>17</v>
      </c>
      <c r="BK248" s="83">
        <f>ROUND($L$248*$K$248,2)</f>
        <v>0</v>
      </c>
      <c r="BL248" s="7" t="s">
        <v>144</v>
      </c>
    </row>
    <row r="249" spans="2:51" s="7" customFormat="1" ht="15.75" customHeight="1">
      <c r="B249" s="131"/>
      <c r="E249" s="132"/>
      <c r="F249" s="203" t="s">
        <v>412</v>
      </c>
      <c r="G249" s="204"/>
      <c r="H249" s="204"/>
      <c r="I249" s="204"/>
      <c r="K249" s="133">
        <v>2</v>
      </c>
      <c r="L249" s="151"/>
      <c r="M249" s="151"/>
      <c r="R249" s="134"/>
      <c r="T249" s="135"/>
      <c r="AA249" s="136"/>
      <c r="AT249" s="132" t="s">
        <v>148</v>
      </c>
      <c r="AU249" s="132" t="s">
        <v>100</v>
      </c>
      <c r="AV249" s="132" t="s">
        <v>100</v>
      </c>
      <c r="AW249" s="132" t="s">
        <v>109</v>
      </c>
      <c r="AX249" s="132" t="s">
        <v>17</v>
      </c>
      <c r="AY249" s="132" t="s">
        <v>139</v>
      </c>
    </row>
    <row r="250" spans="2:64" s="7" customFormat="1" ht="15.75" customHeight="1">
      <c r="B250" s="22"/>
      <c r="C250" s="143" t="s">
        <v>413</v>
      </c>
      <c r="D250" s="143" t="s">
        <v>162</v>
      </c>
      <c r="E250" s="144" t="s">
        <v>414</v>
      </c>
      <c r="F250" s="208" t="s">
        <v>415</v>
      </c>
      <c r="G250" s="209"/>
      <c r="H250" s="209"/>
      <c r="I250" s="209"/>
      <c r="J250" s="145" t="s">
        <v>143</v>
      </c>
      <c r="K250" s="146">
        <v>2</v>
      </c>
      <c r="L250" s="210"/>
      <c r="M250" s="211"/>
      <c r="N250" s="205">
        <f>ROUND($L$250*$K$250,2)</f>
        <v>0</v>
      </c>
      <c r="O250" s="192"/>
      <c r="P250" s="192"/>
      <c r="Q250" s="192"/>
      <c r="R250" s="23"/>
      <c r="T250" s="128"/>
      <c r="U250" s="29" t="s">
        <v>36</v>
      </c>
      <c r="V250" s="129">
        <v>0</v>
      </c>
      <c r="W250" s="129">
        <f>$V$250*$K$250</f>
        <v>0</v>
      </c>
      <c r="X250" s="129">
        <v>0.0014</v>
      </c>
      <c r="Y250" s="129">
        <f>$X$250*$K$250</f>
        <v>0.0028</v>
      </c>
      <c r="Z250" s="129">
        <v>0</v>
      </c>
      <c r="AA250" s="130">
        <f>$Z$250*$K$250</f>
        <v>0</v>
      </c>
      <c r="AR250" s="7" t="s">
        <v>165</v>
      </c>
      <c r="AT250" s="7" t="s">
        <v>162</v>
      </c>
      <c r="AU250" s="7" t="s">
        <v>100</v>
      </c>
      <c r="AY250" s="7" t="s">
        <v>139</v>
      </c>
      <c r="BE250" s="83">
        <f>IF($U$250="základní",$N$250,0)</f>
        <v>0</v>
      </c>
      <c r="BF250" s="83">
        <f>IF($U$250="snížená",$N$250,0)</f>
        <v>0</v>
      </c>
      <c r="BG250" s="83">
        <f>IF($U$250="zákl. přenesená",$N$250,0)</f>
        <v>0</v>
      </c>
      <c r="BH250" s="83">
        <f>IF($U$250="sníž. přenesená",$N$250,0)</f>
        <v>0</v>
      </c>
      <c r="BI250" s="83">
        <f>IF($U$250="nulová",$N$250,0)</f>
        <v>0</v>
      </c>
      <c r="BJ250" s="7" t="s">
        <v>17</v>
      </c>
      <c r="BK250" s="83">
        <f>ROUND($L$250*$K$250,2)</f>
        <v>0</v>
      </c>
      <c r="BL250" s="7" t="s">
        <v>144</v>
      </c>
    </row>
    <row r="251" spans="2:51" s="7" customFormat="1" ht="15.75" customHeight="1">
      <c r="B251" s="131"/>
      <c r="E251" s="132"/>
      <c r="F251" s="203" t="s">
        <v>412</v>
      </c>
      <c r="G251" s="204"/>
      <c r="H251" s="204"/>
      <c r="I251" s="204"/>
      <c r="K251" s="133">
        <v>2</v>
      </c>
      <c r="L251" s="151"/>
      <c r="M251" s="151"/>
      <c r="R251" s="134"/>
      <c r="T251" s="135"/>
      <c r="AA251" s="136"/>
      <c r="AT251" s="132" t="s">
        <v>148</v>
      </c>
      <c r="AU251" s="132" t="s">
        <v>100</v>
      </c>
      <c r="AV251" s="132" t="s">
        <v>100</v>
      </c>
      <c r="AW251" s="132" t="s">
        <v>109</v>
      </c>
      <c r="AX251" s="132" t="s">
        <v>17</v>
      </c>
      <c r="AY251" s="132" t="s">
        <v>139</v>
      </c>
    </row>
    <row r="252" spans="2:64" s="7" customFormat="1" ht="27" customHeight="1">
      <c r="B252" s="22"/>
      <c r="C252" s="124" t="s">
        <v>416</v>
      </c>
      <c r="D252" s="124" t="s">
        <v>140</v>
      </c>
      <c r="E252" s="125" t="s">
        <v>417</v>
      </c>
      <c r="F252" s="200" t="s">
        <v>418</v>
      </c>
      <c r="G252" s="192"/>
      <c r="H252" s="192"/>
      <c r="I252" s="192"/>
      <c r="J252" s="126" t="s">
        <v>143</v>
      </c>
      <c r="K252" s="127">
        <v>2</v>
      </c>
      <c r="L252" s="201"/>
      <c r="M252" s="202"/>
      <c r="N252" s="193">
        <f>ROUND($L$252*$K$252,2)</f>
        <v>0</v>
      </c>
      <c r="O252" s="192"/>
      <c r="P252" s="192"/>
      <c r="Q252" s="192"/>
      <c r="R252" s="23"/>
      <c r="T252" s="128"/>
      <c r="U252" s="29" t="s">
        <v>36</v>
      </c>
      <c r="V252" s="129">
        <v>0.549</v>
      </c>
      <c r="W252" s="129">
        <f>$V$252*$K$252</f>
        <v>1.098</v>
      </c>
      <c r="X252" s="129">
        <v>0.11241</v>
      </c>
      <c r="Y252" s="129">
        <f>$X$252*$K$252</f>
        <v>0.22482</v>
      </c>
      <c r="Z252" s="129">
        <v>0</v>
      </c>
      <c r="AA252" s="130">
        <f>$Z$252*$K$252</f>
        <v>0</v>
      </c>
      <c r="AR252" s="7" t="s">
        <v>144</v>
      </c>
      <c r="AT252" s="7" t="s">
        <v>140</v>
      </c>
      <c r="AU252" s="7" t="s">
        <v>100</v>
      </c>
      <c r="AY252" s="7" t="s">
        <v>139</v>
      </c>
      <c r="BE252" s="83">
        <f>IF($U$252="základní",$N$252,0)</f>
        <v>0</v>
      </c>
      <c r="BF252" s="83">
        <f>IF($U$252="snížená",$N$252,0)</f>
        <v>0</v>
      </c>
      <c r="BG252" s="83">
        <f>IF($U$252="zákl. přenesená",$N$252,0)</f>
        <v>0</v>
      </c>
      <c r="BH252" s="83">
        <f>IF($U$252="sníž. přenesená",$N$252,0)</f>
        <v>0</v>
      </c>
      <c r="BI252" s="83">
        <f>IF($U$252="nulová",$N$252,0)</f>
        <v>0</v>
      </c>
      <c r="BJ252" s="7" t="s">
        <v>17</v>
      </c>
      <c r="BK252" s="83">
        <f>ROUND($L$252*$K$252,2)</f>
        <v>0</v>
      </c>
      <c r="BL252" s="7" t="s">
        <v>144</v>
      </c>
    </row>
    <row r="253" spans="2:64" s="7" customFormat="1" ht="15.75" customHeight="1">
      <c r="B253" s="22"/>
      <c r="C253" s="143" t="s">
        <v>419</v>
      </c>
      <c r="D253" s="143" t="s">
        <v>162</v>
      </c>
      <c r="E253" s="144" t="s">
        <v>420</v>
      </c>
      <c r="F253" s="208" t="s">
        <v>421</v>
      </c>
      <c r="G253" s="209"/>
      <c r="H253" s="209"/>
      <c r="I253" s="209"/>
      <c r="J253" s="145" t="s">
        <v>143</v>
      </c>
      <c r="K253" s="146">
        <v>2</v>
      </c>
      <c r="L253" s="210"/>
      <c r="M253" s="211"/>
      <c r="N253" s="205">
        <f>ROUND($L$253*$K$253,2)</f>
        <v>0</v>
      </c>
      <c r="O253" s="192"/>
      <c r="P253" s="192"/>
      <c r="Q253" s="192"/>
      <c r="R253" s="23"/>
      <c r="T253" s="128"/>
      <c r="U253" s="29" t="s">
        <v>36</v>
      </c>
      <c r="V253" s="129">
        <v>0</v>
      </c>
      <c r="W253" s="129">
        <f>$V$253*$K$253</f>
        <v>0</v>
      </c>
      <c r="X253" s="129">
        <v>0.0061</v>
      </c>
      <c r="Y253" s="129">
        <f>$X$253*$K$253</f>
        <v>0.0122</v>
      </c>
      <c r="Z253" s="129">
        <v>0</v>
      </c>
      <c r="AA253" s="130">
        <f>$Z$253*$K$253</f>
        <v>0</v>
      </c>
      <c r="AR253" s="7" t="s">
        <v>165</v>
      </c>
      <c r="AT253" s="7" t="s">
        <v>162</v>
      </c>
      <c r="AU253" s="7" t="s">
        <v>100</v>
      </c>
      <c r="AY253" s="7" t="s">
        <v>139</v>
      </c>
      <c r="BE253" s="83">
        <f>IF($U$253="základní",$N$253,0)</f>
        <v>0</v>
      </c>
      <c r="BF253" s="83">
        <f>IF($U$253="snížená",$N$253,0)</f>
        <v>0</v>
      </c>
      <c r="BG253" s="83">
        <f>IF($U$253="zákl. přenesená",$N$253,0)</f>
        <v>0</v>
      </c>
      <c r="BH253" s="83">
        <f>IF($U$253="sníž. přenesená",$N$253,0)</f>
        <v>0</v>
      </c>
      <c r="BI253" s="83">
        <f>IF($U$253="nulová",$N$253,0)</f>
        <v>0</v>
      </c>
      <c r="BJ253" s="7" t="s">
        <v>17</v>
      </c>
      <c r="BK253" s="83">
        <f>ROUND($L$253*$K$253,2)</f>
        <v>0</v>
      </c>
      <c r="BL253" s="7" t="s">
        <v>144</v>
      </c>
    </row>
    <row r="254" spans="2:64" s="7" customFormat="1" ht="27" customHeight="1">
      <c r="B254" s="22"/>
      <c r="C254" s="124" t="s">
        <v>422</v>
      </c>
      <c r="D254" s="124" t="s">
        <v>140</v>
      </c>
      <c r="E254" s="125" t="s">
        <v>423</v>
      </c>
      <c r="F254" s="200" t="s">
        <v>424</v>
      </c>
      <c r="G254" s="192"/>
      <c r="H254" s="192"/>
      <c r="I254" s="192"/>
      <c r="J254" s="126" t="s">
        <v>213</v>
      </c>
      <c r="K254" s="127">
        <v>30.2</v>
      </c>
      <c r="L254" s="201"/>
      <c r="M254" s="202"/>
      <c r="N254" s="193">
        <f>ROUND($L$254*$K$254,2)</f>
        <v>0</v>
      </c>
      <c r="O254" s="192"/>
      <c r="P254" s="192"/>
      <c r="Q254" s="192"/>
      <c r="R254" s="23"/>
      <c r="T254" s="128"/>
      <c r="U254" s="29" t="s">
        <v>36</v>
      </c>
      <c r="V254" s="129">
        <v>0.243</v>
      </c>
      <c r="W254" s="129">
        <f>$V$254*$K$254</f>
        <v>7.3386</v>
      </c>
      <c r="X254" s="129">
        <v>0.00012</v>
      </c>
      <c r="Y254" s="129">
        <f>$X$254*$K$254</f>
        <v>0.003624</v>
      </c>
      <c r="Z254" s="129">
        <v>0</v>
      </c>
      <c r="AA254" s="130">
        <f>$Z$254*$K$254</f>
        <v>0</v>
      </c>
      <c r="AR254" s="7" t="s">
        <v>144</v>
      </c>
      <c r="AT254" s="7" t="s">
        <v>140</v>
      </c>
      <c r="AU254" s="7" t="s">
        <v>100</v>
      </c>
      <c r="AY254" s="7" t="s">
        <v>139</v>
      </c>
      <c r="BE254" s="83">
        <f>IF($U$254="základní",$N$254,0)</f>
        <v>0</v>
      </c>
      <c r="BF254" s="83">
        <f>IF($U$254="snížená",$N$254,0)</f>
        <v>0</v>
      </c>
      <c r="BG254" s="83">
        <f>IF($U$254="zákl. přenesená",$N$254,0)</f>
        <v>0</v>
      </c>
      <c r="BH254" s="83">
        <f>IF($U$254="sníž. přenesená",$N$254,0)</f>
        <v>0</v>
      </c>
      <c r="BI254" s="83">
        <f>IF($U$254="nulová",$N$254,0)</f>
        <v>0</v>
      </c>
      <c r="BJ254" s="7" t="s">
        <v>17</v>
      </c>
      <c r="BK254" s="83">
        <f>ROUND($L$254*$K$254,2)</f>
        <v>0</v>
      </c>
      <c r="BL254" s="7" t="s">
        <v>144</v>
      </c>
    </row>
    <row r="255" spans="2:51" s="7" customFormat="1" ht="15.75" customHeight="1">
      <c r="B255" s="131"/>
      <c r="E255" s="132"/>
      <c r="F255" s="203" t="s">
        <v>425</v>
      </c>
      <c r="G255" s="204"/>
      <c r="H255" s="204"/>
      <c r="I255" s="204"/>
      <c r="K255" s="133">
        <v>30.2</v>
      </c>
      <c r="L255" s="151"/>
      <c r="M255" s="151"/>
      <c r="R255" s="134"/>
      <c r="T255" s="135"/>
      <c r="AA255" s="136"/>
      <c r="AT255" s="132" t="s">
        <v>148</v>
      </c>
      <c r="AU255" s="132" t="s">
        <v>100</v>
      </c>
      <c r="AV255" s="132" t="s">
        <v>100</v>
      </c>
      <c r="AW255" s="132" t="s">
        <v>109</v>
      </c>
      <c r="AX255" s="132" t="s">
        <v>17</v>
      </c>
      <c r="AY255" s="132" t="s">
        <v>139</v>
      </c>
    </row>
    <row r="256" spans="2:64" s="7" customFormat="1" ht="15.75" customHeight="1">
      <c r="B256" s="22"/>
      <c r="C256" s="124" t="s">
        <v>426</v>
      </c>
      <c r="D256" s="124" t="s">
        <v>140</v>
      </c>
      <c r="E256" s="125" t="s">
        <v>427</v>
      </c>
      <c r="F256" s="200" t="s">
        <v>428</v>
      </c>
      <c r="G256" s="192"/>
      <c r="H256" s="192"/>
      <c r="I256" s="192"/>
      <c r="J256" s="126" t="s">
        <v>213</v>
      </c>
      <c r="K256" s="127">
        <v>30.2</v>
      </c>
      <c r="L256" s="201"/>
      <c r="M256" s="202"/>
      <c r="N256" s="193">
        <f>ROUND($L$256*$K$256,2)</f>
        <v>0</v>
      </c>
      <c r="O256" s="192"/>
      <c r="P256" s="192"/>
      <c r="Q256" s="192"/>
      <c r="R256" s="23"/>
      <c r="T256" s="128"/>
      <c r="U256" s="29" t="s">
        <v>36</v>
      </c>
      <c r="V256" s="129">
        <v>0.305</v>
      </c>
      <c r="W256" s="129">
        <f>$V$256*$K$256</f>
        <v>9.211</v>
      </c>
      <c r="X256" s="129">
        <v>0</v>
      </c>
      <c r="Y256" s="129">
        <f>$X$256*$K$256</f>
        <v>0</v>
      </c>
      <c r="Z256" s="129">
        <v>0</v>
      </c>
      <c r="AA256" s="130">
        <f>$Z$256*$K$256</f>
        <v>0</v>
      </c>
      <c r="AR256" s="7" t="s">
        <v>144</v>
      </c>
      <c r="AT256" s="7" t="s">
        <v>140</v>
      </c>
      <c r="AU256" s="7" t="s">
        <v>100</v>
      </c>
      <c r="AY256" s="7" t="s">
        <v>139</v>
      </c>
      <c r="BE256" s="83">
        <f>IF($U$256="základní",$N$256,0)</f>
        <v>0</v>
      </c>
      <c r="BF256" s="83">
        <f>IF($U$256="snížená",$N$256,0)</f>
        <v>0</v>
      </c>
      <c r="BG256" s="83">
        <f>IF($U$256="zákl. přenesená",$N$256,0)</f>
        <v>0</v>
      </c>
      <c r="BH256" s="83">
        <f>IF($U$256="sníž. přenesená",$N$256,0)</f>
        <v>0</v>
      </c>
      <c r="BI256" s="83">
        <f>IF($U$256="nulová",$N$256,0)</f>
        <v>0</v>
      </c>
      <c r="BJ256" s="7" t="s">
        <v>17</v>
      </c>
      <c r="BK256" s="83">
        <f>ROUND($L$256*$K$256,2)</f>
        <v>0</v>
      </c>
      <c r="BL256" s="7" t="s">
        <v>144</v>
      </c>
    </row>
    <row r="257" spans="2:51" s="7" customFormat="1" ht="15.75" customHeight="1">
      <c r="B257" s="131"/>
      <c r="E257" s="132"/>
      <c r="F257" s="203" t="s">
        <v>429</v>
      </c>
      <c r="G257" s="204"/>
      <c r="H257" s="204"/>
      <c r="I257" s="204"/>
      <c r="K257" s="133">
        <v>30.2</v>
      </c>
      <c r="L257" s="151"/>
      <c r="M257" s="151"/>
      <c r="R257" s="134"/>
      <c r="T257" s="135"/>
      <c r="AA257" s="136"/>
      <c r="AT257" s="132" t="s">
        <v>148</v>
      </c>
      <c r="AU257" s="132" t="s">
        <v>100</v>
      </c>
      <c r="AV257" s="132" t="s">
        <v>100</v>
      </c>
      <c r="AW257" s="132" t="s">
        <v>109</v>
      </c>
      <c r="AX257" s="132" t="s">
        <v>17</v>
      </c>
      <c r="AY257" s="132" t="s">
        <v>139</v>
      </c>
    </row>
    <row r="258" spans="2:64" s="7" customFormat="1" ht="27" customHeight="1">
      <c r="B258" s="22"/>
      <c r="C258" s="124" t="s">
        <v>430</v>
      </c>
      <c r="D258" s="124" t="s">
        <v>140</v>
      </c>
      <c r="E258" s="125" t="s">
        <v>431</v>
      </c>
      <c r="F258" s="200" t="s">
        <v>432</v>
      </c>
      <c r="G258" s="192"/>
      <c r="H258" s="192"/>
      <c r="I258" s="192"/>
      <c r="J258" s="126" t="s">
        <v>216</v>
      </c>
      <c r="K258" s="127">
        <v>0.402</v>
      </c>
      <c r="L258" s="201"/>
      <c r="M258" s="202"/>
      <c r="N258" s="193">
        <f>ROUND($L$258*$K$258,2)</f>
        <v>0</v>
      </c>
      <c r="O258" s="192"/>
      <c r="P258" s="192"/>
      <c r="Q258" s="192"/>
      <c r="R258" s="23"/>
      <c r="T258" s="128"/>
      <c r="U258" s="29" t="s">
        <v>36</v>
      </c>
      <c r="V258" s="129">
        <v>132</v>
      </c>
      <c r="W258" s="129">
        <f>$V$258*$K$258</f>
        <v>53.064</v>
      </c>
      <c r="X258" s="129">
        <v>2.56946</v>
      </c>
      <c r="Y258" s="129">
        <f>$X$258*$K$258</f>
        <v>1.03292292</v>
      </c>
      <c r="Z258" s="129">
        <v>0</v>
      </c>
      <c r="AA258" s="130">
        <f>$Z$258*$K$258</f>
        <v>0</v>
      </c>
      <c r="AR258" s="7" t="s">
        <v>144</v>
      </c>
      <c r="AT258" s="7" t="s">
        <v>140</v>
      </c>
      <c r="AU258" s="7" t="s">
        <v>100</v>
      </c>
      <c r="AY258" s="7" t="s">
        <v>139</v>
      </c>
      <c r="BE258" s="83">
        <f>IF($U$258="základní",$N$258,0)</f>
        <v>0</v>
      </c>
      <c r="BF258" s="83">
        <f>IF($U$258="snížená",$N$258,0)</f>
        <v>0</v>
      </c>
      <c r="BG258" s="83">
        <f>IF($U$258="zákl. přenesená",$N$258,0)</f>
        <v>0</v>
      </c>
      <c r="BH258" s="83">
        <f>IF($U$258="sníž. přenesená",$N$258,0)</f>
        <v>0</v>
      </c>
      <c r="BI258" s="83">
        <f>IF($U$258="nulová",$N$258,0)</f>
        <v>0</v>
      </c>
      <c r="BJ258" s="7" t="s">
        <v>17</v>
      </c>
      <c r="BK258" s="83">
        <f>ROUND($L$258*$K$258,2)</f>
        <v>0</v>
      </c>
      <c r="BL258" s="7" t="s">
        <v>144</v>
      </c>
    </row>
    <row r="259" spans="2:51" s="7" customFormat="1" ht="15.75" customHeight="1">
      <c r="B259" s="131"/>
      <c r="E259" s="132"/>
      <c r="F259" s="203" t="s">
        <v>433</v>
      </c>
      <c r="G259" s="204"/>
      <c r="H259" s="204"/>
      <c r="I259" s="204"/>
      <c r="K259" s="133">
        <v>0.402</v>
      </c>
      <c r="L259" s="151"/>
      <c r="M259" s="151"/>
      <c r="R259" s="134"/>
      <c r="T259" s="135"/>
      <c r="AA259" s="136"/>
      <c r="AT259" s="132" t="s">
        <v>148</v>
      </c>
      <c r="AU259" s="132" t="s">
        <v>100</v>
      </c>
      <c r="AV259" s="132" t="s">
        <v>100</v>
      </c>
      <c r="AW259" s="132" t="s">
        <v>109</v>
      </c>
      <c r="AX259" s="132" t="s">
        <v>17</v>
      </c>
      <c r="AY259" s="132" t="s">
        <v>139</v>
      </c>
    </row>
    <row r="260" spans="2:64" s="7" customFormat="1" ht="15.75" customHeight="1">
      <c r="B260" s="22"/>
      <c r="C260" s="124" t="s">
        <v>434</v>
      </c>
      <c r="D260" s="124" t="s">
        <v>140</v>
      </c>
      <c r="E260" s="125" t="s">
        <v>435</v>
      </c>
      <c r="F260" s="200" t="s">
        <v>436</v>
      </c>
      <c r="G260" s="192"/>
      <c r="H260" s="192"/>
      <c r="I260" s="192"/>
      <c r="J260" s="126" t="s">
        <v>213</v>
      </c>
      <c r="K260" s="127">
        <v>22.4</v>
      </c>
      <c r="L260" s="201"/>
      <c r="M260" s="202"/>
      <c r="N260" s="193">
        <f>ROUND($L$260*$K$260,2)</f>
        <v>0</v>
      </c>
      <c r="O260" s="192"/>
      <c r="P260" s="192"/>
      <c r="Q260" s="192"/>
      <c r="R260" s="23"/>
      <c r="T260" s="128"/>
      <c r="U260" s="29" t="s">
        <v>36</v>
      </c>
      <c r="V260" s="129">
        <v>3.96</v>
      </c>
      <c r="W260" s="129">
        <f>$V$260*$K$260</f>
        <v>88.704</v>
      </c>
      <c r="X260" s="129">
        <v>0.03515</v>
      </c>
      <c r="Y260" s="129">
        <f>$X$260*$K$260</f>
        <v>0.78736</v>
      </c>
      <c r="Z260" s="129">
        <v>0</v>
      </c>
      <c r="AA260" s="130">
        <f>$Z$260*$K$260</f>
        <v>0</v>
      </c>
      <c r="AR260" s="7" t="s">
        <v>144</v>
      </c>
      <c r="AT260" s="7" t="s">
        <v>140</v>
      </c>
      <c r="AU260" s="7" t="s">
        <v>100</v>
      </c>
      <c r="AY260" s="7" t="s">
        <v>139</v>
      </c>
      <c r="BE260" s="83">
        <f>IF($U$260="základní",$N$260,0)</f>
        <v>0</v>
      </c>
      <c r="BF260" s="83">
        <f>IF($U$260="snížená",$N$260,0)</f>
        <v>0</v>
      </c>
      <c r="BG260" s="83">
        <f>IF($U$260="zákl. přenesená",$N$260,0)</f>
        <v>0</v>
      </c>
      <c r="BH260" s="83">
        <f>IF($U$260="sníž. přenesená",$N$260,0)</f>
        <v>0</v>
      </c>
      <c r="BI260" s="83">
        <f>IF($U$260="nulová",$N$260,0)</f>
        <v>0</v>
      </c>
      <c r="BJ260" s="7" t="s">
        <v>17</v>
      </c>
      <c r="BK260" s="83">
        <f>ROUND($L$260*$K$260,2)</f>
        <v>0</v>
      </c>
      <c r="BL260" s="7" t="s">
        <v>144</v>
      </c>
    </row>
    <row r="261" spans="2:51" s="7" customFormat="1" ht="15.75" customHeight="1">
      <c r="B261" s="131"/>
      <c r="E261" s="132"/>
      <c r="F261" s="203" t="s">
        <v>437</v>
      </c>
      <c r="G261" s="204"/>
      <c r="H261" s="204"/>
      <c r="I261" s="204"/>
      <c r="K261" s="133">
        <v>22.4</v>
      </c>
      <c r="L261" s="151"/>
      <c r="M261" s="151"/>
      <c r="R261" s="134"/>
      <c r="T261" s="135"/>
      <c r="AA261" s="136"/>
      <c r="AT261" s="132" t="s">
        <v>148</v>
      </c>
      <c r="AU261" s="132" t="s">
        <v>100</v>
      </c>
      <c r="AV261" s="132" t="s">
        <v>100</v>
      </c>
      <c r="AW261" s="132" t="s">
        <v>109</v>
      </c>
      <c r="AX261" s="132" t="s">
        <v>17</v>
      </c>
      <c r="AY261" s="132" t="s">
        <v>139</v>
      </c>
    </row>
    <row r="262" spans="2:64" s="7" customFormat="1" ht="27" customHeight="1">
      <c r="B262" s="22"/>
      <c r="C262" s="124" t="s">
        <v>438</v>
      </c>
      <c r="D262" s="124" t="s">
        <v>140</v>
      </c>
      <c r="E262" s="125" t="s">
        <v>439</v>
      </c>
      <c r="F262" s="200" t="s">
        <v>440</v>
      </c>
      <c r="G262" s="192"/>
      <c r="H262" s="192"/>
      <c r="I262" s="192"/>
      <c r="J262" s="126" t="s">
        <v>213</v>
      </c>
      <c r="K262" s="127">
        <v>20.4</v>
      </c>
      <c r="L262" s="201"/>
      <c r="M262" s="202"/>
      <c r="N262" s="193">
        <f>ROUND($L$262*$K$262,2)</f>
        <v>0</v>
      </c>
      <c r="O262" s="192"/>
      <c r="P262" s="192"/>
      <c r="Q262" s="192"/>
      <c r="R262" s="23"/>
      <c r="T262" s="128"/>
      <c r="U262" s="29" t="s">
        <v>36</v>
      </c>
      <c r="V262" s="129">
        <v>0.24</v>
      </c>
      <c r="W262" s="129">
        <f>$V$262*$K$262</f>
        <v>4.896</v>
      </c>
      <c r="X262" s="129">
        <v>0.00018</v>
      </c>
      <c r="Y262" s="129">
        <f>$X$262*$K$262</f>
        <v>0.003672</v>
      </c>
      <c r="Z262" s="129">
        <v>0</v>
      </c>
      <c r="AA262" s="130">
        <f>$Z$262*$K$262</f>
        <v>0</v>
      </c>
      <c r="AR262" s="7" t="s">
        <v>144</v>
      </c>
      <c r="AT262" s="7" t="s">
        <v>140</v>
      </c>
      <c r="AU262" s="7" t="s">
        <v>100</v>
      </c>
      <c r="AY262" s="7" t="s">
        <v>139</v>
      </c>
      <c r="BE262" s="83">
        <f>IF($U$262="základní",$N$262,0)</f>
        <v>0</v>
      </c>
      <c r="BF262" s="83">
        <f>IF($U$262="snížená",$N$262,0)</f>
        <v>0</v>
      </c>
      <c r="BG262" s="83">
        <f>IF($U$262="zákl. přenesená",$N$262,0)</f>
        <v>0</v>
      </c>
      <c r="BH262" s="83">
        <f>IF($U$262="sníž. přenesená",$N$262,0)</f>
        <v>0</v>
      </c>
      <c r="BI262" s="83">
        <f>IF($U$262="nulová",$N$262,0)</f>
        <v>0</v>
      </c>
      <c r="BJ262" s="7" t="s">
        <v>17</v>
      </c>
      <c r="BK262" s="83">
        <f>ROUND($L$262*$K$262,2)</f>
        <v>0</v>
      </c>
      <c r="BL262" s="7" t="s">
        <v>144</v>
      </c>
    </row>
    <row r="263" spans="2:51" s="7" customFormat="1" ht="15.75" customHeight="1">
      <c r="B263" s="131"/>
      <c r="E263" s="132"/>
      <c r="F263" s="203" t="s">
        <v>441</v>
      </c>
      <c r="G263" s="204"/>
      <c r="H263" s="204"/>
      <c r="I263" s="204"/>
      <c r="K263" s="133">
        <v>20.4</v>
      </c>
      <c r="L263" s="151"/>
      <c r="M263" s="151"/>
      <c r="R263" s="134"/>
      <c r="T263" s="135"/>
      <c r="AA263" s="136"/>
      <c r="AT263" s="132" t="s">
        <v>148</v>
      </c>
      <c r="AU263" s="132" t="s">
        <v>100</v>
      </c>
      <c r="AV263" s="132" t="s">
        <v>100</v>
      </c>
      <c r="AW263" s="132" t="s">
        <v>109</v>
      </c>
      <c r="AX263" s="132" t="s">
        <v>17</v>
      </c>
      <c r="AY263" s="132" t="s">
        <v>139</v>
      </c>
    </row>
    <row r="264" spans="2:64" s="7" customFormat="1" ht="39" customHeight="1">
      <c r="B264" s="22"/>
      <c r="C264" s="124" t="s">
        <v>442</v>
      </c>
      <c r="D264" s="124" t="s">
        <v>140</v>
      </c>
      <c r="E264" s="125" t="s">
        <v>443</v>
      </c>
      <c r="F264" s="200" t="s">
        <v>444</v>
      </c>
      <c r="G264" s="192"/>
      <c r="H264" s="192"/>
      <c r="I264" s="192"/>
      <c r="J264" s="126" t="s">
        <v>143</v>
      </c>
      <c r="K264" s="127">
        <v>10</v>
      </c>
      <c r="L264" s="201"/>
      <c r="M264" s="202"/>
      <c r="N264" s="193">
        <f>ROUND($L$264*$K$264,2)</f>
        <v>0</v>
      </c>
      <c r="O264" s="192"/>
      <c r="P264" s="192"/>
      <c r="Q264" s="192"/>
      <c r="R264" s="23"/>
      <c r="T264" s="128"/>
      <c r="U264" s="29" t="s">
        <v>36</v>
      </c>
      <c r="V264" s="129">
        <v>0.436</v>
      </c>
      <c r="W264" s="129">
        <f>$V$264*$K$264</f>
        <v>4.36</v>
      </c>
      <c r="X264" s="129">
        <v>6E-05</v>
      </c>
      <c r="Y264" s="129">
        <f>$X$264*$K$264</f>
        <v>0.0006000000000000001</v>
      </c>
      <c r="Z264" s="129">
        <v>0</v>
      </c>
      <c r="AA264" s="130">
        <f>$Z$264*$K$264</f>
        <v>0</v>
      </c>
      <c r="AR264" s="7" t="s">
        <v>144</v>
      </c>
      <c r="AT264" s="7" t="s">
        <v>140</v>
      </c>
      <c r="AU264" s="7" t="s">
        <v>100</v>
      </c>
      <c r="AY264" s="7" t="s">
        <v>139</v>
      </c>
      <c r="BE264" s="83">
        <f>IF($U$264="základní",$N$264,0)</f>
        <v>0</v>
      </c>
      <c r="BF264" s="83">
        <f>IF($U$264="snížená",$N$264,0)</f>
        <v>0</v>
      </c>
      <c r="BG264" s="83">
        <f>IF($U$264="zákl. přenesená",$N$264,0)</f>
        <v>0</v>
      </c>
      <c r="BH264" s="83">
        <f>IF($U$264="sníž. přenesená",$N$264,0)</f>
        <v>0</v>
      </c>
      <c r="BI264" s="83">
        <f>IF($U$264="nulová",$N$264,0)</f>
        <v>0</v>
      </c>
      <c r="BJ264" s="7" t="s">
        <v>17</v>
      </c>
      <c r="BK264" s="83">
        <f>ROUND($L$264*$K$264,2)</f>
        <v>0</v>
      </c>
      <c r="BL264" s="7" t="s">
        <v>144</v>
      </c>
    </row>
    <row r="265" spans="2:64" s="7" customFormat="1" ht="15.75" customHeight="1">
      <c r="B265" s="22"/>
      <c r="C265" s="124" t="s">
        <v>445</v>
      </c>
      <c r="D265" s="124" t="s">
        <v>140</v>
      </c>
      <c r="E265" s="125" t="s">
        <v>446</v>
      </c>
      <c r="F265" s="200" t="s">
        <v>447</v>
      </c>
      <c r="G265" s="192"/>
      <c r="H265" s="192"/>
      <c r="I265" s="192"/>
      <c r="J265" s="126" t="s">
        <v>216</v>
      </c>
      <c r="K265" s="127">
        <v>9.53</v>
      </c>
      <c r="L265" s="201"/>
      <c r="M265" s="202"/>
      <c r="N265" s="193">
        <f>ROUND($L$265*$K$265,2)</f>
        <v>0</v>
      </c>
      <c r="O265" s="192"/>
      <c r="P265" s="192"/>
      <c r="Q265" s="192"/>
      <c r="R265" s="23"/>
      <c r="T265" s="128"/>
      <c r="U265" s="29" t="s">
        <v>36</v>
      </c>
      <c r="V265" s="129">
        <v>16.374</v>
      </c>
      <c r="W265" s="129">
        <f>$V$265*$K$265</f>
        <v>156.04421999999997</v>
      </c>
      <c r="X265" s="129">
        <v>0.12171</v>
      </c>
      <c r="Y265" s="129">
        <f>$X$265*$K$265</f>
        <v>1.1598963</v>
      </c>
      <c r="Z265" s="129">
        <v>2.4</v>
      </c>
      <c r="AA265" s="130">
        <f>$Z$265*$K$265</f>
        <v>22.871999999999996</v>
      </c>
      <c r="AR265" s="7" t="s">
        <v>144</v>
      </c>
      <c r="AT265" s="7" t="s">
        <v>140</v>
      </c>
      <c r="AU265" s="7" t="s">
        <v>100</v>
      </c>
      <c r="AY265" s="7" t="s">
        <v>139</v>
      </c>
      <c r="BE265" s="83">
        <f>IF($U$265="základní",$N$265,0)</f>
        <v>0</v>
      </c>
      <c r="BF265" s="83">
        <f>IF($U$265="snížená",$N$265,0)</f>
        <v>0</v>
      </c>
      <c r="BG265" s="83">
        <f>IF($U$265="zákl. přenesená",$N$265,0)</f>
        <v>0</v>
      </c>
      <c r="BH265" s="83">
        <f>IF($U$265="sníž. přenesená",$N$265,0)</f>
        <v>0</v>
      </c>
      <c r="BI265" s="83">
        <f>IF($U$265="nulová",$N$265,0)</f>
        <v>0</v>
      </c>
      <c r="BJ265" s="7" t="s">
        <v>17</v>
      </c>
      <c r="BK265" s="83">
        <f>ROUND($L$265*$K$265,2)</f>
        <v>0</v>
      </c>
      <c r="BL265" s="7" t="s">
        <v>144</v>
      </c>
    </row>
    <row r="266" spans="2:51" s="7" customFormat="1" ht="15.75" customHeight="1">
      <c r="B266" s="131"/>
      <c r="E266" s="132"/>
      <c r="F266" s="203" t="s">
        <v>448</v>
      </c>
      <c r="G266" s="204"/>
      <c r="H266" s="204"/>
      <c r="I266" s="204"/>
      <c r="K266" s="133">
        <v>7.445</v>
      </c>
      <c r="L266" s="151"/>
      <c r="M266" s="151"/>
      <c r="R266" s="134"/>
      <c r="T266" s="135"/>
      <c r="AA266" s="136"/>
      <c r="AT266" s="132" t="s">
        <v>148</v>
      </c>
      <c r="AU266" s="132" t="s">
        <v>100</v>
      </c>
      <c r="AV266" s="132" t="s">
        <v>100</v>
      </c>
      <c r="AW266" s="132" t="s">
        <v>109</v>
      </c>
      <c r="AX266" s="132" t="s">
        <v>71</v>
      </c>
      <c r="AY266" s="132" t="s">
        <v>139</v>
      </c>
    </row>
    <row r="267" spans="2:51" s="7" customFormat="1" ht="15.75" customHeight="1">
      <c r="B267" s="131"/>
      <c r="E267" s="132"/>
      <c r="F267" s="203" t="s">
        <v>449</v>
      </c>
      <c r="G267" s="204"/>
      <c r="H267" s="204"/>
      <c r="I267" s="204"/>
      <c r="K267" s="133">
        <v>2.085</v>
      </c>
      <c r="L267" s="151"/>
      <c r="M267" s="151"/>
      <c r="R267" s="134"/>
      <c r="T267" s="135"/>
      <c r="AA267" s="136"/>
      <c r="AT267" s="132" t="s">
        <v>148</v>
      </c>
      <c r="AU267" s="132" t="s">
        <v>100</v>
      </c>
      <c r="AV267" s="132" t="s">
        <v>100</v>
      </c>
      <c r="AW267" s="132" t="s">
        <v>109</v>
      </c>
      <c r="AX267" s="132" t="s">
        <v>71</v>
      </c>
      <c r="AY267" s="132" t="s">
        <v>139</v>
      </c>
    </row>
    <row r="268" spans="2:51" s="7" customFormat="1" ht="15.75" customHeight="1">
      <c r="B268" s="137"/>
      <c r="E268" s="138"/>
      <c r="F268" s="206" t="s">
        <v>156</v>
      </c>
      <c r="G268" s="207"/>
      <c r="H268" s="207"/>
      <c r="I268" s="207"/>
      <c r="K268" s="139">
        <v>9.53</v>
      </c>
      <c r="L268" s="151"/>
      <c r="M268" s="151"/>
      <c r="R268" s="140"/>
      <c r="T268" s="141"/>
      <c r="AA268" s="142"/>
      <c r="AT268" s="138" t="s">
        <v>148</v>
      </c>
      <c r="AU268" s="138" t="s">
        <v>100</v>
      </c>
      <c r="AV268" s="138" t="s">
        <v>144</v>
      </c>
      <c r="AW268" s="138" t="s">
        <v>109</v>
      </c>
      <c r="AX268" s="138" t="s">
        <v>17</v>
      </c>
      <c r="AY268" s="138" t="s">
        <v>139</v>
      </c>
    </row>
    <row r="269" spans="2:64" s="7" customFormat="1" ht="15.75" customHeight="1">
      <c r="B269" s="22"/>
      <c r="C269" s="124" t="s">
        <v>450</v>
      </c>
      <c r="D269" s="124" t="s">
        <v>140</v>
      </c>
      <c r="E269" s="125" t="s">
        <v>451</v>
      </c>
      <c r="F269" s="200" t="s">
        <v>452</v>
      </c>
      <c r="G269" s="192"/>
      <c r="H269" s="192"/>
      <c r="I269" s="192"/>
      <c r="J269" s="126" t="s">
        <v>216</v>
      </c>
      <c r="K269" s="127">
        <v>11.47</v>
      </c>
      <c r="L269" s="201"/>
      <c r="M269" s="202"/>
      <c r="N269" s="193">
        <f>ROUND($L$269*$K$269,2)</f>
        <v>0</v>
      </c>
      <c r="O269" s="192"/>
      <c r="P269" s="192"/>
      <c r="Q269" s="192"/>
      <c r="R269" s="23"/>
      <c r="T269" s="128"/>
      <c r="U269" s="29" t="s">
        <v>36</v>
      </c>
      <c r="V269" s="129">
        <v>16.374</v>
      </c>
      <c r="W269" s="129">
        <f>$V$269*$K$269</f>
        <v>187.80978</v>
      </c>
      <c r="X269" s="129">
        <v>0.12171</v>
      </c>
      <c r="Y269" s="129">
        <f>$X$269*$K$269</f>
        <v>1.3960137000000001</v>
      </c>
      <c r="Z269" s="129">
        <v>2.4</v>
      </c>
      <c r="AA269" s="130">
        <f>$Z$269*$K$269</f>
        <v>27.528000000000002</v>
      </c>
      <c r="AR269" s="7" t="s">
        <v>144</v>
      </c>
      <c r="AT269" s="7" t="s">
        <v>140</v>
      </c>
      <c r="AU269" s="7" t="s">
        <v>100</v>
      </c>
      <c r="AY269" s="7" t="s">
        <v>139</v>
      </c>
      <c r="BE269" s="83">
        <f>IF($U$269="základní",$N$269,0)</f>
        <v>0</v>
      </c>
      <c r="BF269" s="83">
        <f>IF($U$269="snížená",$N$269,0)</f>
        <v>0</v>
      </c>
      <c r="BG269" s="83">
        <f>IF($U$269="zákl. přenesená",$N$269,0)</f>
        <v>0</v>
      </c>
      <c r="BH269" s="83">
        <f>IF($U$269="sníž. přenesená",$N$269,0)</f>
        <v>0</v>
      </c>
      <c r="BI269" s="83">
        <f>IF($U$269="nulová",$N$269,0)</f>
        <v>0</v>
      </c>
      <c r="BJ269" s="7" t="s">
        <v>17</v>
      </c>
      <c r="BK269" s="83">
        <f>ROUND($L$269*$K$269,2)</f>
        <v>0</v>
      </c>
      <c r="BL269" s="7" t="s">
        <v>144</v>
      </c>
    </row>
    <row r="270" spans="2:51" s="7" customFormat="1" ht="15.75" customHeight="1">
      <c r="B270" s="131"/>
      <c r="E270" s="132"/>
      <c r="F270" s="203" t="s">
        <v>453</v>
      </c>
      <c r="G270" s="204"/>
      <c r="H270" s="204"/>
      <c r="I270" s="204"/>
      <c r="K270" s="133">
        <v>11.47</v>
      </c>
      <c r="L270" s="151"/>
      <c r="M270" s="151"/>
      <c r="R270" s="134"/>
      <c r="T270" s="135"/>
      <c r="AA270" s="136"/>
      <c r="AT270" s="132" t="s">
        <v>148</v>
      </c>
      <c r="AU270" s="132" t="s">
        <v>100</v>
      </c>
      <c r="AV270" s="132" t="s">
        <v>100</v>
      </c>
      <c r="AW270" s="132" t="s">
        <v>109</v>
      </c>
      <c r="AX270" s="132" t="s">
        <v>17</v>
      </c>
      <c r="AY270" s="132" t="s">
        <v>139</v>
      </c>
    </row>
    <row r="271" spans="2:64" s="7" customFormat="1" ht="15.75" customHeight="1">
      <c r="B271" s="22"/>
      <c r="C271" s="124" t="s">
        <v>454</v>
      </c>
      <c r="D271" s="124" t="s">
        <v>140</v>
      </c>
      <c r="E271" s="125" t="s">
        <v>455</v>
      </c>
      <c r="F271" s="200" t="s">
        <v>456</v>
      </c>
      <c r="G271" s="192"/>
      <c r="H271" s="192"/>
      <c r="I271" s="192"/>
      <c r="J271" s="126" t="s">
        <v>213</v>
      </c>
      <c r="K271" s="127">
        <v>18</v>
      </c>
      <c r="L271" s="201"/>
      <c r="M271" s="202"/>
      <c r="N271" s="193">
        <f>ROUND($L$271*$K$271,2)</f>
        <v>0</v>
      </c>
      <c r="O271" s="192"/>
      <c r="P271" s="192"/>
      <c r="Q271" s="192"/>
      <c r="R271" s="23"/>
      <c r="T271" s="128"/>
      <c r="U271" s="29" t="s">
        <v>36</v>
      </c>
      <c r="V271" s="129">
        <v>0.607</v>
      </c>
      <c r="W271" s="129">
        <f>$V$271*$K$271</f>
        <v>10.926</v>
      </c>
      <c r="X271" s="129">
        <v>8E-05</v>
      </c>
      <c r="Y271" s="129">
        <f>$X$271*$K$271</f>
        <v>0.00144</v>
      </c>
      <c r="Z271" s="129">
        <v>0.018</v>
      </c>
      <c r="AA271" s="130">
        <f>$Z$271*$K$271</f>
        <v>0.32399999999999995</v>
      </c>
      <c r="AR271" s="7" t="s">
        <v>144</v>
      </c>
      <c r="AT271" s="7" t="s">
        <v>140</v>
      </c>
      <c r="AU271" s="7" t="s">
        <v>100</v>
      </c>
      <c r="AY271" s="7" t="s">
        <v>139</v>
      </c>
      <c r="BE271" s="83">
        <f>IF($U$271="základní",$N$271,0)</f>
        <v>0</v>
      </c>
      <c r="BF271" s="83">
        <f>IF($U$271="snížená",$N$271,0)</f>
        <v>0</v>
      </c>
      <c r="BG271" s="83">
        <f>IF($U$271="zákl. přenesená",$N$271,0)</f>
        <v>0</v>
      </c>
      <c r="BH271" s="83">
        <f>IF($U$271="sníž. přenesená",$N$271,0)</f>
        <v>0</v>
      </c>
      <c r="BI271" s="83">
        <f>IF($U$271="nulová",$N$271,0)</f>
        <v>0</v>
      </c>
      <c r="BJ271" s="7" t="s">
        <v>17</v>
      </c>
      <c r="BK271" s="83">
        <f>ROUND($L$271*$K$271,2)</f>
        <v>0</v>
      </c>
      <c r="BL271" s="7" t="s">
        <v>144</v>
      </c>
    </row>
    <row r="272" spans="2:51" s="7" customFormat="1" ht="15.75" customHeight="1">
      <c r="B272" s="131"/>
      <c r="E272" s="132"/>
      <c r="F272" s="203" t="s">
        <v>457</v>
      </c>
      <c r="G272" s="204"/>
      <c r="H272" s="204"/>
      <c r="I272" s="204"/>
      <c r="K272" s="133">
        <v>18</v>
      </c>
      <c r="L272" s="151"/>
      <c r="M272" s="151"/>
      <c r="R272" s="134"/>
      <c r="T272" s="135"/>
      <c r="AA272" s="136"/>
      <c r="AT272" s="132" t="s">
        <v>148</v>
      </c>
      <c r="AU272" s="132" t="s">
        <v>100</v>
      </c>
      <c r="AV272" s="132" t="s">
        <v>100</v>
      </c>
      <c r="AW272" s="132" t="s">
        <v>109</v>
      </c>
      <c r="AX272" s="132" t="s">
        <v>17</v>
      </c>
      <c r="AY272" s="132" t="s">
        <v>139</v>
      </c>
    </row>
    <row r="273" spans="2:64" s="7" customFormat="1" ht="27" customHeight="1">
      <c r="B273" s="22"/>
      <c r="C273" s="124" t="s">
        <v>458</v>
      </c>
      <c r="D273" s="124" t="s">
        <v>140</v>
      </c>
      <c r="E273" s="125" t="s">
        <v>459</v>
      </c>
      <c r="F273" s="200" t="s">
        <v>460</v>
      </c>
      <c r="G273" s="192"/>
      <c r="H273" s="192"/>
      <c r="I273" s="192"/>
      <c r="J273" s="126" t="s">
        <v>208</v>
      </c>
      <c r="K273" s="127">
        <v>38.88</v>
      </c>
      <c r="L273" s="201"/>
      <c r="M273" s="202"/>
      <c r="N273" s="193">
        <f>ROUND($L$273*$K$273,2)</f>
        <v>0</v>
      </c>
      <c r="O273" s="192"/>
      <c r="P273" s="192"/>
      <c r="Q273" s="192"/>
      <c r="R273" s="23"/>
      <c r="T273" s="128"/>
      <c r="U273" s="29" t="s">
        <v>36</v>
      </c>
      <c r="V273" s="129">
        <v>1.815</v>
      </c>
      <c r="W273" s="129">
        <f>$V$273*$K$273</f>
        <v>70.5672</v>
      </c>
      <c r="X273" s="129">
        <v>0</v>
      </c>
      <c r="Y273" s="129">
        <f>$X$273*$K$273</f>
        <v>0</v>
      </c>
      <c r="Z273" s="129">
        <v>0.264</v>
      </c>
      <c r="AA273" s="130">
        <f>$Z$273*$K$273</f>
        <v>10.264320000000001</v>
      </c>
      <c r="AR273" s="7" t="s">
        <v>144</v>
      </c>
      <c r="AT273" s="7" t="s">
        <v>140</v>
      </c>
      <c r="AU273" s="7" t="s">
        <v>100</v>
      </c>
      <c r="AY273" s="7" t="s">
        <v>139</v>
      </c>
      <c r="BE273" s="83">
        <f>IF($U$273="základní",$N$273,0)</f>
        <v>0</v>
      </c>
      <c r="BF273" s="83">
        <f>IF($U$273="snížená",$N$273,0)</f>
        <v>0</v>
      </c>
      <c r="BG273" s="83">
        <f>IF($U$273="zákl. přenesená",$N$273,0)</f>
        <v>0</v>
      </c>
      <c r="BH273" s="83">
        <f>IF($U$273="sníž. přenesená",$N$273,0)</f>
        <v>0</v>
      </c>
      <c r="BI273" s="83">
        <f>IF($U$273="nulová",$N$273,0)</f>
        <v>0</v>
      </c>
      <c r="BJ273" s="7" t="s">
        <v>17</v>
      </c>
      <c r="BK273" s="83">
        <f>ROUND($L$273*$K$273,2)</f>
        <v>0</v>
      </c>
      <c r="BL273" s="7" t="s">
        <v>144</v>
      </c>
    </row>
    <row r="274" spans="2:51" s="7" customFormat="1" ht="15.75" customHeight="1">
      <c r="B274" s="131"/>
      <c r="E274" s="132"/>
      <c r="F274" s="203" t="s">
        <v>461</v>
      </c>
      <c r="G274" s="204"/>
      <c r="H274" s="204"/>
      <c r="I274" s="204"/>
      <c r="K274" s="133">
        <v>38.88</v>
      </c>
      <c r="L274" s="151"/>
      <c r="M274" s="151"/>
      <c r="R274" s="134"/>
      <c r="T274" s="135"/>
      <c r="AA274" s="136"/>
      <c r="AT274" s="132" t="s">
        <v>148</v>
      </c>
      <c r="AU274" s="132" t="s">
        <v>100</v>
      </c>
      <c r="AV274" s="132" t="s">
        <v>100</v>
      </c>
      <c r="AW274" s="132" t="s">
        <v>109</v>
      </c>
      <c r="AX274" s="132" t="s">
        <v>17</v>
      </c>
      <c r="AY274" s="132" t="s">
        <v>139</v>
      </c>
    </row>
    <row r="275" spans="2:64" s="7" customFormat="1" ht="27" customHeight="1">
      <c r="B275" s="22"/>
      <c r="C275" s="124" t="s">
        <v>462</v>
      </c>
      <c r="D275" s="124" t="s">
        <v>140</v>
      </c>
      <c r="E275" s="125" t="s">
        <v>463</v>
      </c>
      <c r="F275" s="200" t="s">
        <v>464</v>
      </c>
      <c r="G275" s="192"/>
      <c r="H275" s="192"/>
      <c r="I275" s="192"/>
      <c r="J275" s="126" t="s">
        <v>208</v>
      </c>
      <c r="K275" s="127">
        <v>43.2</v>
      </c>
      <c r="L275" s="201"/>
      <c r="M275" s="202"/>
      <c r="N275" s="193">
        <f>ROUND($L$275*$K$275,2)</f>
        <v>0</v>
      </c>
      <c r="O275" s="192"/>
      <c r="P275" s="192"/>
      <c r="Q275" s="192"/>
      <c r="R275" s="23"/>
      <c r="T275" s="128"/>
      <c r="U275" s="29" t="s">
        <v>36</v>
      </c>
      <c r="V275" s="129">
        <v>0.54</v>
      </c>
      <c r="W275" s="129">
        <f>$V$275*$K$275</f>
        <v>23.328000000000003</v>
      </c>
      <c r="X275" s="129">
        <v>0</v>
      </c>
      <c r="Y275" s="129">
        <f>$X$275*$K$275</f>
        <v>0</v>
      </c>
      <c r="Z275" s="129">
        <v>0.00073</v>
      </c>
      <c r="AA275" s="130">
        <f>$Z$275*$K$275</f>
        <v>0.031536</v>
      </c>
      <c r="AR275" s="7" t="s">
        <v>144</v>
      </c>
      <c r="AT275" s="7" t="s">
        <v>140</v>
      </c>
      <c r="AU275" s="7" t="s">
        <v>100</v>
      </c>
      <c r="AY275" s="7" t="s">
        <v>139</v>
      </c>
      <c r="BE275" s="83">
        <f>IF($U$275="základní",$N$275,0)</f>
        <v>0</v>
      </c>
      <c r="BF275" s="83">
        <f>IF($U$275="snížená",$N$275,0)</f>
        <v>0</v>
      </c>
      <c r="BG275" s="83">
        <f>IF($U$275="zákl. přenesená",$N$275,0)</f>
        <v>0</v>
      </c>
      <c r="BH275" s="83">
        <f>IF($U$275="sníž. přenesená",$N$275,0)</f>
        <v>0</v>
      </c>
      <c r="BI275" s="83">
        <f>IF($U$275="nulová",$N$275,0)</f>
        <v>0</v>
      </c>
      <c r="BJ275" s="7" t="s">
        <v>17</v>
      </c>
      <c r="BK275" s="83">
        <f>ROUND($L$275*$K$275,2)</f>
        <v>0</v>
      </c>
      <c r="BL275" s="7" t="s">
        <v>144</v>
      </c>
    </row>
    <row r="276" spans="2:51" s="7" customFormat="1" ht="15.75" customHeight="1">
      <c r="B276" s="131"/>
      <c r="E276" s="132"/>
      <c r="F276" s="203" t="s">
        <v>465</v>
      </c>
      <c r="G276" s="204"/>
      <c r="H276" s="204"/>
      <c r="I276" s="204"/>
      <c r="K276" s="133">
        <v>43.2</v>
      </c>
      <c r="L276" s="151"/>
      <c r="M276" s="151"/>
      <c r="R276" s="134"/>
      <c r="T276" s="135"/>
      <c r="AA276" s="136"/>
      <c r="AT276" s="132" t="s">
        <v>148</v>
      </c>
      <c r="AU276" s="132" t="s">
        <v>100</v>
      </c>
      <c r="AV276" s="132" t="s">
        <v>100</v>
      </c>
      <c r="AW276" s="132" t="s">
        <v>109</v>
      </c>
      <c r="AX276" s="132" t="s">
        <v>17</v>
      </c>
      <c r="AY276" s="132" t="s">
        <v>139</v>
      </c>
    </row>
    <row r="277" spans="2:64" s="7" customFormat="1" ht="27" customHeight="1">
      <c r="B277" s="22"/>
      <c r="C277" s="124" t="s">
        <v>466</v>
      </c>
      <c r="D277" s="124" t="s">
        <v>140</v>
      </c>
      <c r="E277" s="125" t="s">
        <v>467</v>
      </c>
      <c r="F277" s="200" t="s">
        <v>468</v>
      </c>
      <c r="G277" s="192"/>
      <c r="H277" s="192"/>
      <c r="I277" s="192"/>
      <c r="J277" s="126" t="s">
        <v>208</v>
      </c>
      <c r="K277" s="127">
        <v>46.746</v>
      </c>
      <c r="L277" s="201"/>
      <c r="M277" s="202"/>
      <c r="N277" s="193">
        <f>ROUND($L$277*$K$277,2)</f>
        <v>0</v>
      </c>
      <c r="O277" s="192"/>
      <c r="P277" s="192"/>
      <c r="Q277" s="192"/>
      <c r="R277" s="23"/>
      <c r="T277" s="128"/>
      <c r="U277" s="29" t="s">
        <v>36</v>
      </c>
      <c r="V277" s="129">
        <v>0.273</v>
      </c>
      <c r="W277" s="129">
        <f>$V$277*$K$277</f>
        <v>12.761658000000002</v>
      </c>
      <c r="X277" s="129">
        <v>0</v>
      </c>
      <c r="Y277" s="129">
        <f>$X$277*$K$277</f>
        <v>0</v>
      </c>
      <c r="Z277" s="129">
        <v>0</v>
      </c>
      <c r="AA277" s="130">
        <f>$Z$277*$K$277</f>
        <v>0</v>
      </c>
      <c r="AR277" s="7" t="s">
        <v>144</v>
      </c>
      <c r="AT277" s="7" t="s">
        <v>140</v>
      </c>
      <c r="AU277" s="7" t="s">
        <v>100</v>
      </c>
      <c r="AY277" s="7" t="s">
        <v>139</v>
      </c>
      <c r="BE277" s="83">
        <f>IF($U$277="základní",$N$277,0)</f>
        <v>0</v>
      </c>
      <c r="BF277" s="83">
        <f>IF($U$277="snížená",$N$277,0)</f>
        <v>0</v>
      </c>
      <c r="BG277" s="83">
        <f>IF($U$277="zákl. přenesená",$N$277,0)</f>
        <v>0</v>
      </c>
      <c r="BH277" s="83">
        <f>IF($U$277="sníž. přenesená",$N$277,0)</f>
        <v>0</v>
      </c>
      <c r="BI277" s="83">
        <f>IF($U$277="nulová",$N$277,0)</f>
        <v>0</v>
      </c>
      <c r="BJ277" s="7" t="s">
        <v>17</v>
      </c>
      <c r="BK277" s="83">
        <f>ROUND($L$277*$K$277,2)</f>
        <v>0</v>
      </c>
      <c r="BL277" s="7" t="s">
        <v>144</v>
      </c>
    </row>
    <row r="278" spans="2:51" s="7" customFormat="1" ht="15.75" customHeight="1">
      <c r="B278" s="131"/>
      <c r="E278" s="132"/>
      <c r="F278" s="203" t="s">
        <v>469</v>
      </c>
      <c r="G278" s="204"/>
      <c r="H278" s="204"/>
      <c r="I278" s="204"/>
      <c r="K278" s="133">
        <v>8.36</v>
      </c>
      <c r="L278" s="151"/>
      <c r="M278" s="151"/>
      <c r="R278" s="134"/>
      <c r="T278" s="135"/>
      <c r="AA278" s="136"/>
      <c r="AT278" s="132" t="s">
        <v>148</v>
      </c>
      <c r="AU278" s="132" t="s">
        <v>100</v>
      </c>
      <c r="AV278" s="132" t="s">
        <v>100</v>
      </c>
      <c r="AW278" s="132" t="s">
        <v>109</v>
      </c>
      <c r="AX278" s="132" t="s">
        <v>71</v>
      </c>
      <c r="AY278" s="132" t="s">
        <v>139</v>
      </c>
    </row>
    <row r="279" spans="2:51" s="7" customFormat="1" ht="27" customHeight="1">
      <c r="B279" s="131"/>
      <c r="E279" s="132"/>
      <c r="F279" s="203" t="s">
        <v>470</v>
      </c>
      <c r="G279" s="204"/>
      <c r="H279" s="204"/>
      <c r="I279" s="204"/>
      <c r="K279" s="133">
        <v>38.386</v>
      </c>
      <c r="L279" s="151"/>
      <c r="M279" s="151"/>
      <c r="R279" s="134"/>
      <c r="T279" s="135"/>
      <c r="AA279" s="136"/>
      <c r="AT279" s="132" t="s">
        <v>148</v>
      </c>
      <c r="AU279" s="132" t="s">
        <v>100</v>
      </c>
      <c r="AV279" s="132" t="s">
        <v>100</v>
      </c>
      <c r="AW279" s="132" t="s">
        <v>109</v>
      </c>
      <c r="AX279" s="132" t="s">
        <v>71</v>
      </c>
      <c r="AY279" s="132" t="s">
        <v>139</v>
      </c>
    </row>
    <row r="280" spans="2:51" s="7" customFormat="1" ht="15.75" customHeight="1">
      <c r="B280" s="137"/>
      <c r="E280" s="138"/>
      <c r="F280" s="206" t="s">
        <v>156</v>
      </c>
      <c r="G280" s="207"/>
      <c r="H280" s="207"/>
      <c r="I280" s="207"/>
      <c r="K280" s="139">
        <v>46.746</v>
      </c>
      <c r="L280" s="151"/>
      <c r="M280" s="151"/>
      <c r="R280" s="140"/>
      <c r="T280" s="141"/>
      <c r="AA280" s="142"/>
      <c r="AT280" s="138" t="s">
        <v>148</v>
      </c>
      <c r="AU280" s="138" t="s">
        <v>100</v>
      </c>
      <c r="AV280" s="138" t="s">
        <v>144</v>
      </c>
      <c r="AW280" s="138" t="s">
        <v>109</v>
      </c>
      <c r="AX280" s="138" t="s">
        <v>17</v>
      </c>
      <c r="AY280" s="138" t="s">
        <v>139</v>
      </c>
    </row>
    <row r="281" spans="2:64" s="7" customFormat="1" ht="27" customHeight="1">
      <c r="B281" s="22"/>
      <c r="C281" s="124" t="s">
        <v>471</v>
      </c>
      <c r="D281" s="124" t="s">
        <v>140</v>
      </c>
      <c r="E281" s="125" t="s">
        <v>472</v>
      </c>
      <c r="F281" s="200" t="s">
        <v>473</v>
      </c>
      <c r="G281" s="192"/>
      <c r="H281" s="192"/>
      <c r="I281" s="192"/>
      <c r="J281" s="126" t="s">
        <v>208</v>
      </c>
      <c r="K281" s="127">
        <v>8.36</v>
      </c>
      <c r="L281" s="201"/>
      <c r="M281" s="202"/>
      <c r="N281" s="193">
        <f>ROUND($L$281*$K$281,2)</f>
        <v>0</v>
      </c>
      <c r="O281" s="192"/>
      <c r="P281" s="192"/>
      <c r="Q281" s="192"/>
      <c r="R281" s="23"/>
      <c r="T281" s="128"/>
      <c r="U281" s="29" t="s">
        <v>36</v>
      </c>
      <c r="V281" s="129">
        <v>0.747</v>
      </c>
      <c r="W281" s="129">
        <f>$V$281*$K$281</f>
        <v>6.24492</v>
      </c>
      <c r="X281" s="129">
        <v>0.126</v>
      </c>
      <c r="Y281" s="129">
        <f>$X$281*$K$281</f>
        <v>1.0533599999999999</v>
      </c>
      <c r="Z281" s="129">
        <v>0.0225</v>
      </c>
      <c r="AA281" s="130">
        <f>$Z$281*$K$281</f>
        <v>0.1881</v>
      </c>
      <c r="AR281" s="7" t="s">
        <v>144</v>
      </c>
      <c r="AT281" s="7" t="s">
        <v>140</v>
      </c>
      <c r="AU281" s="7" t="s">
        <v>100</v>
      </c>
      <c r="AY281" s="7" t="s">
        <v>139</v>
      </c>
      <c r="BE281" s="83">
        <f>IF($U$281="základní",$N$281,0)</f>
        <v>0</v>
      </c>
      <c r="BF281" s="83">
        <f>IF($U$281="snížená",$N$281,0)</f>
        <v>0</v>
      </c>
      <c r="BG281" s="83">
        <f>IF($U$281="zákl. přenesená",$N$281,0)</f>
        <v>0</v>
      </c>
      <c r="BH281" s="83">
        <f>IF($U$281="sníž. přenesená",$N$281,0)</f>
        <v>0</v>
      </c>
      <c r="BI281" s="83">
        <f>IF($U$281="nulová",$N$281,0)</f>
        <v>0</v>
      </c>
      <c r="BJ281" s="7" t="s">
        <v>17</v>
      </c>
      <c r="BK281" s="83">
        <f>ROUND($L$281*$K$281,2)</f>
        <v>0</v>
      </c>
      <c r="BL281" s="7" t="s">
        <v>144</v>
      </c>
    </row>
    <row r="282" spans="2:51" s="7" customFormat="1" ht="15.75" customHeight="1">
      <c r="B282" s="131"/>
      <c r="E282" s="132"/>
      <c r="F282" s="203" t="s">
        <v>469</v>
      </c>
      <c r="G282" s="204"/>
      <c r="H282" s="204"/>
      <c r="I282" s="204"/>
      <c r="K282" s="133">
        <v>8.36</v>
      </c>
      <c r="L282" s="151"/>
      <c r="M282" s="151"/>
      <c r="R282" s="134"/>
      <c r="T282" s="135"/>
      <c r="AA282" s="136"/>
      <c r="AT282" s="132" t="s">
        <v>148</v>
      </c>
      <c r="AU282" s="132" t="s">
        <v>100</v>
      </c>
      <c r="AV282" s="132" t="s">
        <v>100</v>
      </c>
      <c r="AW282" s="132" t="s">
        <v>109</v>
      </c>
      <c r="AX282" s="132" t="s">
        <v>17</v>
      </c>
      <c r="AY282" s="132" t="s">
        <v>139</v>
      </c>
    </row>
    <row r="283" spans="2:51" s="7" customFormat="1" ht="27" customHeight="1">
      <c r="B283" s="131"/>
      <c r="E283" s="132"/>
      <c r="F283" s="203" t="s">
        <v>470</v>
      </c>
      <c r="G283" s="204"/>
      <c r="H283" s="204"/>
      <c r="I283" s="204"/>
      <c r="K283" s="133">
        <v>38.386</v>
      </c>
      <c r="L283" s="151"/>
      <c r="M283" s="151"/>
      <c r="R283" s="134"/>
      <c r="T283" s="135"/>
      <c r="AA283" s="136"/>
      <c r="AT283" s="132" t="s">
        <v>148</v>
      </c>
      <c r="AU283" s="132" t="s">
        <v>100</v>
      </c>
      <c r="AV283" s="132" t="s">
        <v>100</v>
      </c>
      <c r="AW283" s="132" t="s">
        <v>109</v>
      </c>
      <c r="AX283" s="132" t="s">
        <v>71</v>
      </c>
      <c r="AY283" s="132" t="s">
        <v>139</v>
      </c>
    </row>
    <row r="284" spans="2:51" s="7" customFormat="1" ht="15.75" customHeight="1">
      <c r="B284" s="137"/>
      <c r="E284" s="138"/>
      <c r="F284" s="206" t="s">
        <v>156</v>
      </c>
      <c r="G284" s="207"/>
      <c r="H284" s="207"/>
      <c r="I284" s="207"/>
      <c r="K284" s="139">
        <v>46.746</v>
      </c>
      <c r="L284" s="151"/>
      <c r="M284" s="151"/>
      <c r="R284" s="140"/>
      <c r="T284" s="141"/>
      <c r="AA284" s="142"/>
      <c r="AT284" s="138" t="s">
        <v>148</v>
      </c>
      <c r="AU284" s="138" t="s">
        <v>100</v>
      </c>
      <c r="AV284" s="138" t="s">
        <v>144</v>
      </c>
      <c r="AW284" s="138" t="s">
        <v>109</v>
      </c>
      <c r="AX284" s="138" t="s">
        <v>71</v>
      </c>
      <c r="AY284" s="138" t="s">
        <v>139</v>
      </c>
    </row>
    <row r="285" spans="2:63" s="114" customFormat="1" ht="23.25" customHeight="1">
      <c r="B285" s="115"/>
      <c r="D285" s="123" t="s">
        <v>203</v>
      </c>
      <c r="L285" s="152"/>
      <c r="M285" s="152"/>
      <c r="N285" s="197">
        <f>$BK$285</f>
        <v>0</v>
      </c>
      <c r="O285" s="196"/>
      <c r="P285" s="196"/>
      <c r="Q285" s="196"/>
      <c r="R285" s="118"/>
      <c r="T285" s="119"/>
      <c r="W285" s="120">
        <f>SUM($W$286:$W$295)</f>
        <v>55.585128000000005</v>
      </c>
      <c r="Y285" s="120">
        <f>SUM($Y$286:$Y$295)</f>
        <v>0</v>
      </c>
      <c r="AA285" s="121">
        <f>SUM($AA$286:$AA$295)</f>
        <v>0</v>
      </c>
      <c r="AR285" s="117" t="s">
        <v>17</v>
      </c>
      <c r="AT285" s="117" t="s">
        <v>70</v>
      </c>
      <c r="AU285" s="117" t="s">
        <v>100</v>
      </c>
      <c r="AY285" s="117" t="s">
        <v>139</v>
      </c>
      <c r="BK285" s="122">
        <f>SUM($BK$286:$BK$295)</f>
        <v>0</v>
      </c>
    </row>
    <row r="286" spans="2:64" s="7" customFormat="1" ht="39" customHeight="1">
      <c r="B286" s="22"/>
      <c r="C286" s="124" t="s">
        <v>474</v>
      </c>
      <c r="D286" s="124" t="s">
        <v>140</v>
      </c>
      <c r="E286" s="125" t="s">
        <v>475</v>
      </c>
      <c r="F286" s="200" t="s">
        <v>476</v>
      </c>
      <c r="G286" s="192"/>
      <c r="H286" s="192"/>
      <c r="I286" s="192"/>
      <c r="J286" s="126" t="s">
        <v>253</v>
      </c>
      <c r="K286" s="127">
        <v>60.852</v>
      </c>
      <c r="L286" s="201"/>
      <c r="M286" s="202"/>
      <c r="N286" s="193">
        <f>ROUND($L$286*$K$286,2)</f>
        <v>0</v>
      </c>
      <c r="O286" s="192"/>
      <c r="P286" s="192"/>
      <c r="Q286" s="192"/>
      <c r="R286" s="23"/>
      <c r="T286" s="128"/>
      <c r="U286" s="29" t="s">
        <v>36</v>
      </c>
      <c r="V286" s="129">
        <v>0</v>
      </c>
      <c r="W286" s="129">
        <f>$V$286*$K$286</f>
        <v>0</v>
      </c>
      <c r="X286" s="129">
        <v>0</v>
      </c>
      <c r="Y286" s="129">
        <f>$X$286*$K$286</f>
        <v>0</v>
      </c>
      <c r="Z286" s="129">
        <v>0</v>
      </c>
      <c r="AA286" s="130">
        <f>$Z$286*$K$286</f>
        <v>0</v>
      </c>
      <c r="AR286" s="7" t="s">
        <v>144</v>
      </c>
      <c r="AT286" s="7" t="s">
        <v>140</v>
      </c>
      <c r="AU286" s="7" t="s">
        <v>157</v>
      </c>
      <c r="AY286" s="7" t="s">
        <v>139</v>
      </c>
      <c r="BE286" s="83">
        <f>IF($U$286="základní",$N$286,0)</f>
        <v>0</v>
      </c>
      <c r="BF286" s="83">
        <f>IF($U$286="snížená",$N$286,0)</f>
        <v>0</v>
      </c>
      <c r="BG286" s="83">
        <f>IF($U$286="zákl. přenesená",$N$286,0)</f>
        <v>0</v>
      </c>
      <c r="BH286" s="83">
        <f>IF($U$286="sníž. přenesená",$N$286,0)</f>
        <v>0</v>
      </c>
      <c r="BI286" s="83">
        <f>IF($U$286="nulová",$N$286,0)</f>
        <v>0</v>
      </c>
      <c r="BJ286" s="7" t="s">
        <v>17</v>
      </c>
      <c r="BK286" s="83">
        <f>ROUND($L$286*$K$286,2)</f>
        <v>0</v>
      </c>
      <c r="BL286" s="7" t="s">
        <v>144</v>
      </c>
    </row>
    <row r="287" spans="2:64" s="7" customFormat="1" ht="27" customHeight="1">
      <c r="B287" s="22"/>
      <c r="C287" s="124" t="s">
        <v>477</v>
      </c>
      <c r="D287" s="124" t="s">
        <v>140</v>
      </c>
      <c r="E287" s="125" t="s">
        <v>478</v>
      </c>
      <c r="F287" s="200" t="s">
        <v>479</v>
      </c>
      <c r="G287" s="192"/>
      <c r="H287" s="192"/>
      <c r="I287" s="192"/>
      <c r="J287" s="126" t="s">
        <v>253</v>
      </c>
      <c r="K287" s="127">
        <v>0.032</v>
      </c>
      <c r="L287" s="201"/>
      <c r="M287" s="202"/>
      <c r="N287" s="193">
        <f>ROUND($L$287*$K$287,2)</f>
        <v>0</v>
      </c>
      <c r="O287" s="192"/>
      <c r="P287" s="192"/>
      <c r="Q287" s="192"/>
      <c r="R287" s="23"/>
      <c r="T287" s="128"/>
      <c r="U287" s="29" t="s">
        <v>36</v>
      </c>
      <c r="V287" s="129">
        <v>0</v>
      </c>
      <c r="W287" s="129">
        <f>$V$287*$K$287</f>
        <v>0</v>
      </c>
      <c r="X287" s="129">
        <v>0</v>
      </c>
      <c r="Y287" s="129">
        <f>$X$287*$K$287</f>
        <v>0</v>
      </c>
      <c r="Z287" s="129">
        <v>0</v>
      </c>
      <c r="AA287" s="130">
        <f>$Z$287*$K$287</f>
        <v>0</v>
      </c>
      <c r="AR287" s="7" t="s">
        <v>144</v>
      </c>
      <c r="AT287" s="7" t="s">
        <v>140</v>
      </c>
      <c r="AU287" s="7" t="s">
        <v>157</v>
      </c>
      <c r="AY287" s="7" t="s">
        <v>139</v>
      </c>
      <c r="BE287" s="83">
        <f>IF($U$287="základní",$N$287,0)</f>
        <v>0</v>
      </c>
      <c r="BF287" s="83">
        <f>IF($U$287="snížená",$N$287,0)</f>
        <v>0</v>
      </c>
      <c r="BG287" s="83">
        <f>IF($U$287="zákl. přenesená",$N$287,0)</f>
        <v>0</v>
      </c>
      <c r="BH287" s="83">
        <f>IF($U$287="sníž. přenesená",$N$287,0)</f>
        <v>0</v>
      </c>
      <c r="BI287" s="83">
        <f>IF($U$287="nulová",$N$287,0)</f>
        <v>0</v>
      </c>
      <c r="BJ287" s="7" t="s">
        <v>17</v>
      </c>
      <c r="BK287" s="83">
        <f>ROUND($L$287*$K$287,2)</f>
        <v>0</v>
      </c>
      <c r="BL287" s="7" t="s">
        <v>144</v>
      </c>
    </row>
    <row r="288" spans="2:64" s="7" customFormat="1" ht="27" customHeight="1">
      <c r="B288" s="22"/>
      <c r="C288" s="124" t="s">
        <v>480</v>
      </c>
      <c r="D288" s="124" t="s">
        <v>140</v>
      </c>
      <c r="E288" s="125" t="s">
        <v>481</v>
      </c>
      <c r="F288" s="200" t="s">
        <v>482</v>
      </c>
      <c r="G288" s="192"/>
      <c r="H288" s="192"/>
      <c r="I288" s="192"/>
      <c r="J288" s="126" t="s">
        <v>253</v>
      </c>
      <c r="K288" s="127">
        <v>61.208</v>
      </c>
      <c r="L288" s="201"/>
      <c r="M288" s="202"/>
      <c r="N288" s="193">
        <f>ROUND($L$288*$K$288,2)</f>
        <v>0</v>
      </c>
      <c r="O288" s="192"/>
      <c r="P288" s="192"/>
      <c r="Q288" s="192"/>
      <c r="R288" s="23"/>
      <c r="T288" s="128"/>
      <c r="U288" s="29" t="s">
        <v>36</v>
      </c>
      <c r="V288" s="129">
        <v>0.24</v>
      </c>
      <c r="W288" s="129">
        <f>$V$288*$K$288</f>
        <v>14.689919999999999</v>
      </c>
      <c r="X288" s="129">
        <v>0</v>
      </c>
      <c r="Y288" s="129">
        <f>$X$288*$K$288</f>
        <v>0</v>
      </c>
      <c r="Z288" s="129">
        <v>0</v>
      </c>
      <c r="AA288" s="130">
        <f>$Z$288*$K$288</f>
        <v>0</v>
      </c>
      <c r="AR288" s="7" t="s">
        <v>144</v>
      </c>
      <c r="AT288" s="7" t="s">
        <v>140</v>
      </c>
      <c r="AU288" s="7" t="s">
        <v>157</v>
      </c>
      <c r="AY288" s="7" t="s">
        <v>139</v>
      </c>
      <c r="BE288" s="83">
        <f>IF($U$288="základní",$N$288,0)</f>
        <v>0</v>
      </c>
      <c r="BF288" s="83">
        <f>IF($U$288="snížená",$N$288,0)</f>
        <v>0</v>
      </c>
      <c r="BG288" s="83">
        <f>IF($U$288="zákl. přenesená",$N$288,0)</f>
        <v>0</v>
      </c>
      <c r="BH288" s="83">
        <f>IF($U$288="sníž. přenesená",$N$288,0)</f>
        <v>0</v>
      </c>
      <c r="BI288" s="83">
        <f>IF($U$288="nulová",$N$288,0)</f>
        <v>0</v>
      </c>
      <c r="BJ288" s="7" t="s">
        <v>17</v>
      </c>
      <c r="BK288" s="83">
        <f>ROUND($L$288*$K$288,2)</f>
        <v>0</v>
      </c>
      <c r="BL288" s="7" t="s">
        <v>144</v>
      </c>
    </row>
    <row r="289" spans="2:51" s="7" customFormat="1" ht="27" customHeight="1">
      <c r="B289" s="131"/>
      <c r="E289" s="132"/>
      <c r="F289" s="203" t="s">
        <v>483</v>
      </c>
      <c r="G289" s="204"/>
      <c r="H289" s="204"/>
      <c r="I289" s="204"/>
      <c r="K289" s="133">
        <v>60.852</v>
      </c>
      <c r="L289" s="151"/>
      <c r="M289" s="151"/>
      <c r="R289" s="134"/>
      <c r="T289" s="135"/>
      <c r="AA289" s="136"/>
      <c r="AT289" s="132" t="s">
        <v>148</v>
      </c>
      <c r="AU289" s="132" t="s">
        <v>157</v>
      </c>
      <c r="AV289" s="132" t="s">
        <v>100</v>
      </c>
      <c r="AW289" s="132" t="s">
        <v>109</v>
      </c>
      <c r="AX289" s="132" t="s">
        <v>71</v>
      </c>
      <c r="AY289" s="132" t="s">
        <v>139</v>
      </c>
    </row>
    <row r="290" spans="2:51" s="7" customFormat="1" ht="15.75" customHeight="1">
      <c r="B290" s="131"/>
      <c r="E290" s="132"/>
      <c r="F290" s="203" t="s">
        <v>484</v>
      </c>
      <c r="G290" s="204"/>
      <c r="H290" s="204"/>
      <c r="I290" s="204"/>
      <c r="K290" s="133">
        <v>0.324</v>
      </c>
      <c r="L290" s="151"/>
      <c r="M290" s="151"/>
      <c r="R290" s="134"/>
      <c r="T290" s="135"/>
      <c r="AA290" s="136"/>
      <c r="AT290" s="132" t="s">
        <v>148</v>
      </c>
      <c r="AU290" s="132" t="s">
        <v>157</v>
      </c>
      <c r="AV290" s="132" t="s">
        <v>100</v>
      </c>
      <c r="AW290" s="132" t="s">
        <v>109</v>
      </c>
      <c r="AX290" s="132" t="s">
        <v>71</v>
      </c>
      <c r="AY290" s="132" t="s">
        <v>139</v>
      </c>
    </row>
    <row r="291" spans="2:51" s="7" customFormat="1" ht="15.75" customHeight="1">
      <c r="B291" s="131"/>
      <c r="E291" s="132"/>
      <c r="F291" s="203" t="s">
        <v>485</v>
      </c>
      <c r="G291" s="204"/>
      <c r="H291" s="204"/>
      <c r="I291" s="204"/>
      <c r="K291" s="133">
        <v>0.032</v>
      </c>
      <c r="L291" s="151"/>
      <c r="M291" s="151"/>
      <c r="R291" s="134"/>
      <c r="T291" s="135"/>
      <c r="AA291" s="136"/>
      <c r="AT291" s="132" t="s">
        <v>148</v>
      </c>
      <c r="AU291" s="132" t="s">
        <v>157</v>
      </c>
      <c r="AV291" s="132" t="s">
        <v>100</v>
      </c>
      <c r="AW291" s="132" t="s">
        <v>109</v>
      </c>
      <c r="AX291" s="132" t="s">
        <v>71</v>
      </c>
      <c r="AY291" s="132" t="s">
        <v>139</v>
      </c>
    </row>
    <row r="292" spans="2:51" s="7" customFormat="1" ht="15.75" customHeight="1">
      <c r="B292" s="137"/>
      <c r="E292" s="138"/>
      <c r="F292" s="206" t="s">
        <v>156</v>
      </c>
      <c r="G292" s="207"/>
      <c r="H292" s="207"/>
      <c r="I292" s="207"/>
      <c r="K292" s="139">
        <v>61.208</v>
      </c>
      <c r="L292" s="151"/>
      <c r="M292" s="151"/>
      <c r="R292" s="140"/>
      <c r="T292" s="141"/>
      <c r="AA292" s="142"/>
      <c r="AT292" s="138" t="s">
        <v>148</v>
      </c>
      <c r="AU292" s="138" t="s">
        <v>157</v>
      </c>
      <c r="AV292" s="138" t="s">
        <v>144</v>
      </c>
      <c r="AW292" s="138" t="s">
        <v>109</v>
      </c>
      <c r="AX292" s="138" t="s">
        <v>17</v>
      </c>
      <c r="AY292" s="138" t="s">
        <v>139</v>
      </c>
    </row>
    <row r="293" spans="2:64" s="7" customFormat="1" ht="15.75" customHeight="1">
      <c r="B293" s="22"/>
      <c r="C293" s="124" t="s">
        <v>486</v>
      </c>
      <c r="D293" s="124" t="s">
        <v>140</v>
      </c>
      <c r="E293" s="125" t="s">
        <v>487</v>
      </c>
      <c r="F293" s="200" t="s">
        <v>488</v>
      </c>
      <c r="G293" s="192"/>
      <c r="H293" s="192"/>
      <c r="I293" s="192"/>
      <c r="J293" s="126" t="s">
        <v>253</v>
      </c>
      <c r="K293" s="127">
        <v>669.372</v>
      </c>
      <c r="L293" s="201"/>
      <c r="M293" s="202"/>
      <c r="N293" s="193">
        <f>ROUND($L$293*$K$293,2)</f>
        <v>0</v>
      </c>
      <c r="O293" s="192"/>
      <c r="P293" s="192"/>
      <c r="Q293" s="192"/>
      <c r="R293" s="23"/>
      <c r="T293" s="128"/>
      <c r="U293" s="29" t="s">
        <v>36</v>
      </c>
      <c r="V293" s="129">
        <v>0.004</v>
      </c>
      <c r="W293" s="129">
        <f>$V$293*$K$293</f>
        <v>2.677488</v>
      </c>
      <c r="X293" s="129">
        <v>0</v>
      </c>
      <c r="Y293" s="129">
        <f>$X$293*$K$293</f>
        <v>0</v>
      </c>
      <c r="Z293" s="129">
        <v>0</v>
      </c>
      <c r="AA293" s="130">
        <f>$Z$293*$K$293</f>
        <v>0</v>
      </c>
      <c r="AR293" s="7" t="s">
        <v>144</v>
      </c>
      <c r="AT293" s="7" t="s">
        <v>140</v>
      </c>
      <c r="AU293" s="7" t="s">
        <v>157</v>
      </c>
      <c r="AY293" s="7" t="s">
        <v>139</v>
      </c>
      <c r="BE293" s="83">
        <f>IF($U$293="základní",$N$293,0)</f>
        <v>0</v>
      </c>
      <c r="BF293" s="83">
        <f>IF($U$293="snížená",$N$293,0)</f>
        <v>0</v>
      </c>
      <c r="BG293" s="83">
        <f>IF($U$293="zákl. přenesená",$N$293,0)</f>
        <v>0</v>
      </c>
      <c r="BH293" s="83">
        <f>IF($U$293="sníž. přenesená",$N$293,0)</f>
        <v>0</v>
      </c>
      <c r="BI293" s="83">
        <f>IF($U$293="nulová",$N$293,0)</f>
        <v>0</v>
      </c>
      <c r="BJ293" s="7" t="s">
        <v>17</v>
      </c>
      <c r="BK293" s="83">
        <f>ROUND($L$293*$K$293,2)</f>
        <v>0</v>
      </c>
      <c r="BL293" s="7" t="s">
        <v>144</v>
      </c>
    </row>
    <row r="294" spans="2:51" s="7" customFormat="1" ht="15.75" customHeight="1">
      <c r="B294" s="131"/>
      <c r="E294" s="132"/>
      <c r="F294" s="203" t="s">
        <v>489</v>
      </c>
      <c r="G294" s="204"/>
      <c r="H294" s="204"/>
      <c r="I294" s="204"/>
      <c r="K294" s="133">
        <v>669.372</v>
      </c>
      <c r="L294" s="151"/>
      <c r="M294" s="151"/>
      <c r="R294" s="134"/>
      <c r="T294" s="135"/>
      <c r="AA294" s="136"/>
      <c r="AT294" s="132" t="s">
        <v>148</v>
      </c>
      <c r="AU294" s="132" t="s">
        <v>157</v>
      </c>
      <c r="AV294" s="132" t="s">
        <v>100</v>
      </c>
      <c r="AW294" s="132" t="s">
        <v>109</v>
      </c>
      <c r="AX294" s="132" t="s">
        <v>17</v>
      </c>
      <c r="AY294" s="132" t="s">
        <v>139</v>
      </c>
    </row>
    <row r="295" spans="2:64" s="7" customFormat="1" ht="27" customHeight="1">
      <c r="B295" s="22"/>
      <c r="C295" s="124" t="s">
        <v>490</v>
      </c>
      <c r="D295" s="124" t="s">
        <v>140</v>
      </c>
      <c r="E295" s="125" t="s">
        <v>491</v>
      </c>
      <c r="F295" s="200" t="s">
        <v>492</v>
      </c>
      <c r="G295" s="192"/>
      <c r="H295" s="192"/>
      <c r="I295" s="192"/>
      <c r="J295" s="126" t="s">
        <v>253</v>
      </c>
      <c r="K295" s="127">
        <v>84.18</v>
      </c>
      <c r="L295" s="201"/>
      <c r="M295" s="202"/>
      <c r="N295" s="193">
        <f>ROUND($L$295*$K$295,2)</f>
        <v>0</v>
      </c>
      <c r="O295" s="192"/>
      <c r="P295" s="192"/>
      <c r="Q295" s="192"/>
      <c r="R295" s="23"/>
      <c r="T295" s="128"/>
      <c r="U295" s="29" t="s">
        <v>36</v>
      </c>
      <c r="V295" s="129">
        <v>0.454</v>
      </c>
      <c r="W295" s="129">
        <f>$V$295*$K$295</f>
        <v>38.21772000000001</v>
      </c>
      <c r="X295" s="129">
        <v>0</v>
      </c>
      <c r="Y295" s="129">
        <f>$X$295*$K$295</f>
        <v>0</v>
      </c>
      <c r="Z295" s="129">
        <v>0</v>
      </c>
      <c r="AA295" s="130">
        <f>$Z$295*$K$295</f>
        <v>0</v>
      </c>
      <c r="AR295" s="7" t="s">
        <v>144</v>
      </c>
      <c r="AT295" s="7" t="s">
        <v>140</v>
      </c>
      <c r="AU295" s="7" t="s">
        <v>157</v>
      </c>
      <c r="AY295" s="7" t="s">
        <v>139</v>
      </c>
      <c r="BE295" s="83">
        <f>IF($U$295="základní",$N$295,0)</f>
        <v>0</v>
      </c>
      <c r="BF295" s="83">
        <f>IF($U$295="snížená",$N$295,0)</f>
        <v>0</v>
      </c>
      <c r="BG295" s="83">
        <f>IF($U$295="zákl. přenesená",$N$295,0)</f>
        <v>0</v>
      </c>
      <c r="BH295" s="83">
        <f>IF($U$295="sníž. přenesená",$N$295,0)</f>
        <v>0</v>
      </c>
      <c r="BI295" s="83">
        <f>IF($U$295="nulová",$N$295,0)</f>
        <v>0</v>
      </c>
      <c r="BJ295" s="7" t="s">
        <v>17</v>
      </c>
      <c r="BK295" s="83">
        <f>ROUND($L$295*$K$295,2)</f>
        <v>0</v>
      </c>
      <c r="BL295" s="7" t="s">
        <v>144</v>
      </c>
    </row>
    <row r="296" spans="2:63" s="114" customFormat="1" ht="37.5" customHeight="1">
      <c r="B296" s="115"/>
      <c r="D296" s="116" t="s">
        <v>204</v>
      </c>
      <c r="L296" s="152"/>
      <c r="M296" s="152"/>
      <c r="N296" s="195">
        <f>$BK$296</f>
        <v>0</v>
      </c>
      <c r="O296" s="196"/>
      <c r="P296" s="196"/>
      <c r="Q296" s="196"/>
      <c r="R296" s="118"/>
      <c r="T296" s="119"/>
      <c r="W296" s="120">
        <f>$W$297</f>
        <v>38.339089</v>
      </c>
      <c r="Y296" s="120">
        <f>$Y$297</f>
        <v>1.3273015999999997</v>
      </c>
      <c r="AA296" s="121">
        <f>$AA$297</f>
        <v>0</v>
      </c>
      <c r="AR296" s="117" t="s">
        <v>100</v>
      </c>
      <c r="AT296" s="117" t="s">
        <v>70</v>
      </c>
      <c r="AU296" s="117" t="s">
        <v>71</v>
      </c>
      <c r="AY296" s="117" t="s">
        <v>139</v>
      </c>
      <c r="BK296" s="122">
        <f>$BK$297</f>
        <v>0</v>
      </c>
    </row>
    <row r="297" spans="2:63" s="114" customFormat="1" ht="21" customHeight="1">
      <c r="B297" s="115"/>
      <c r="D297" s="123" t="s">
        <v>205</v>
      </c>
      <c r="L297" s="152"/>
      <c r="M297" s="152"/>
      <c r="N297" s="197">
        <f>$BK$297</f>
        <v>0</v>
      </c>
      <c r="O297" s="196"/>
      <c r="P297" s="196"/>
      <c r="Q297" s="196"/>
      <c r="R297" s="118"/>
      <c r="T297" s="119"/>
      <c r="W297" s="120">
        <f>SUM($W$298:$W$319)</f>
        <v>38.339089</v>
      </c>
      <c r="Y297" s="120">
        <f>SUM($Y$298:$Y$319)</f>
        <v>1.3273015999999997</v>
      </c>
      <c r="AA297" s="121">
        <f>SUM($AA$298:$AA$319)</f>
        <v>0</v>
      </c>
      <c r="AR297" s="117" t="s">
        <v>100</v>
      </c>
      <c r="AT297" s="117" t="s">
        <v>70</v>
      </c>
      <c r="AU297" s="117" t="s">
        <v>17</v>
      </c>
      <c r="AY297" s="117" t="s">
        <v>139</v>
      </c>
      <c r="BK297" s="122">
        <f>SUM($BK$298:$BK$319)</f>
        <v>0</v>
      </c>
    </row>
    <row r="298" spans="2:64" s="7" customFormat="1" ht="27" customHeight="1">
      <c r="B298" s="22"/>
      <c r="C298" s="124" t="s">
        <v>493</v>
      </c>
      <c r="D298" s="124" t="s">
        <v>140</v>
      </c>
      <c r="E298" s="125" t="s">
        <v>494</v>
      </c>
      <c r="F298" s="200" t="s">
        <v>495</v>
      </c>
      <c r="G298" s="192"/>
      <c r="H298" s="192"/>
      <c r="I298" s="192"/>
      <c r="J298" s="126" t="s">
        <v>208</v>
      </c>
      <c r="K298" s="127">
        <v>55.2</v>
      </c>
      <c r="L298" s="201"/>
      <c r="M298" s="202"/>
      <c r="N298" s="193">
        <f>ROUND($L$298*$K$298,2)</f>
        <v>0</v>
      </c>
      <c r="O298" s="192"/>
      <c r="P298" s="192"/>
      <c r="Q298" s="192"/>
      <c r="R298" s="23"/>
      <c r="T298" s="128"/>
      <c r="U298" s="29" t="s">
        <v>36</v>
      </c>
      <c r="V298" s="129">
        <v>0.26</v>
      </c>
      <c r="W298" s="129">
        <f>$V$298*$K$298</f>
        <v>14.352000000000002</v>
      </c>
      <c r="X298" s="129">
        <v>0.0004</v>
      </c>
      <c r="Y298" s="129">
        <f>$X$298*$K$298</f>
        <v>0.022080000000000002</v>
      </c>
      <c r="Z298" s="129">
        <v>0</v>
      </c>
      <c r="AA298" s="130">
        <f>$Z$298*$K$298</f>
        <v>0</v>
      </c>
      <c r="AR298" s="7" t="s">
        <v>255</v>
      </c>
      <c r="AT298" s="7" t="s">
        <v>140</v>
      </c>
      <c r="AU298" s="7" t="s">
        <v>100</v>
      </c>
      <c r="AY298" s="7" t="s">
        <v>139</v>
      </c>
      <c r="BE298" s="83">
        <f>IF($U$298="základní",$N$298,0)</f>
        <v>0</v>
      </c>
      <c r="BF298" s="83">
        <f>IF($U$298="snížená",$N$298,0)</f>
        <v>0</v>
      </c>
      <c r="BG298" s="83">
        <f>IF($U$298="zákl. přenesená",$N$298,0)</f>
        <v>0</v>
      </c>
      <c r="BH298" s="83">
        <f>IF($U$298="sníž. přenesená",$N$298,0)</f>
        <v>0</v>
      </c>
      <c r="BI298" s="83">
        <f>IF($U$298="nulová",$N$298,0)</f>
        <v>0</v>
      </c>
      <c r="BJ298" s="7" t="s">
        <v>17</v>
      </c>
      <c r="BK298" s="83">
        <f>ROUND($L$298*$K$298,2)</f>
        <v>0</v>
      </c>
      <c r="BL298" s="7" t="s">
        <v>255</v>
      </c>
    </row>
    <row r="299" spans="2:51" s="7" customFormat="1" ht="15.75" customHeight="1">
      <c r="B299" s="131"/>
      <c r="E299" s="132"/>
      <c r="F299" s="203" t="s">
        <v>496</v>
      </c>
      <c r="G299" s="204"/>
      <c r="H299" s="204"/>
      <c r="I299" s="204"/>
      <c r="K299" s="133">
        <v>38.08</v>
      </c>
      <c r="L299" s="151"/>
      <c r="M299" s="151"/>
      <c r="R299" s="134"/>
      <c r="T299" s="135"/>
      <c r="AA299" s="136"/>
      <c r="AT299" s="132" t="s">
        <v>148</v>
      </c>
      <c r="AU299" s="132" t="s">
        <v>100</v>
      </c>
      <c r="AV299" s="132" t="s">
        <v>100</v>
      </c>
      <c r="AW299" s="132" t="s">
        <v>109</v>
      </c>
      <c r="AX299" s="132" t="s">
        <v>71</v>
      </c>
      <c r="AY299" s="132" t="s">
        <v>139</v>
      </c>
    </row>
    <row r="300" spans="2:51" s="7" customFormat="1" ht="15.75" customHeight="1">
      <c r="B300" s="131"/>
      <c r="E300" s="132"/>
      <c r="F300" s="203" t="s">
        <v>497</v>
      </c>
      <c r="G300" s="204"/>
      <c r="H300" s="204"/>
      <c r="I300" s="204"/>
      <c r="K300" s="133">
        <v>17.12</v>
      </c>
      <c r="L300" s="151"/>
      <c r="M300" s="151"/>
      <c r="R300" s="134"/>
      <c r="T300" s="135"/>
      <c r="AA300" s="136"/>
      <c r="AT300" s="132" t="s">
        <v>148</v>
      </c>
      <c r="AU300" s="132" t="s">
        <v>100</v>
      </c>
      <c r="AV300" s="132" t="s">
        <v>100</v>
      </c>
      <c r="AW300" s="132" t="s">
        <v>109</v>
      </c>
      <c r="AX300" s="132" t="s">
        <v>71</v>
      </c>
      <c r="AY300" s="132" t="s">
        <v>139</v>
      </c>
    </row>
    <row r="301" spans="2:51" s="7" customFormat="1" ht="15.75" customHeight="1">
      <c r="B301" s="137"/>
      <c r="E301" s="138"/>
      <c r="F301" s="206" t="s">
        <v>156</v>
      </c>
      <c r="G301" s="207"/>
      <c r="H301" s="207"/>
      <c r="I301" s="207"/>
      <c r="K301" s="139">
        <v>55.2</v>
      </c>
      <c r="L301" s="151"/>
      <c r="M301" s="151"/>
      <c r="R301" s="140"/>
      <c r="T301" s="141"/>
      <c r="AA301" s="142"/>
      <c r="AT301" s="138" t="s">
        <v>148</v>
      </c>
      <c r="AU301" s="138" t="s">
        <v>100</v>
      </c>
      <c r="AV301" s="138" t="s">
        <v>144</v>
      </c>
      <c r="AW301" s="138" t="s">
        <v>109</v>
      </c>
      <c r="AX301" s="138" t="s">
        <v>17</v>
      </c>
      <c r="AY301" s="138" t="s">
        <v>139</v>
      </c>
    </row>
    <row r="302" spans="2:64" s="7" customFormat="1" ht="15.75" customHeight="1">
      <c r="B302" s="22"/>
      <c r="C302" s="143" t="s">
        <v>498</v>
      </c>
      <c r="D302" s="143" t="s">
        <v>162</v>
      </c>
      <c r="E302" s="144" t="s">
        <v>499</v>
      </c>
      <c r="F302" s="208" t="s">
        <v>500</v>
      </c>
      <c r="G302" s="209"/>
      <c r="H302" s="209"/>
      <c r="I302" s="209"/>
      <c r="J302" s="145" t="s">
        <v>208</v>
      </c>
      <c r="K302" s="146">
        <v>66.24</v>
      </c>
      <c r="L302" s="210"/>
      <c r="M302" s="211"/>
      <c r="N302" s="205">
        <f>ROUND($L$302*$K$302,2)</f>
        <v>0</v>
      </c>
      <c r="O302" s="192"/>
      <c r="P302" s="192"/>
      <c r="Q302" s="192"/>
      <c r="R302" s="23"/>
      <c r="T302" s="128"/>
      <c r="U302" s="29" t="s">
        <v>36</v>
      </c>
      <c r="V302" s="129">
        <v>0</v>
      </c>
      <c r="W302" s="129">
        <f>$V$302*$K$302</f>
        <v>0</v>
      </c>
      <c r="X302" s="129">
        <v>0.00388</v>
      </c>
      <c r="Y302" s="129">
        <f>$X$302*$K$302</f>
        <v>0.2570112</v>
      </c>
      <c r="Z302" s="129">
        <v>0</v>
      </c>
      <c r="AA302" s="130">
        <f>$Z$302*$K$302</f>
        <v>0</v>
      </c>
      <c r="AR302" s="7" t="s">
        <v>313</v>
      </c>
      <c r="AT302" s="7" t="s">
        <v>162</v>
      </c>
      <c r="AU302" s="7" t="s">
        <v>100</v>
      </c>
      <c r="AY302" s="7" t="s">
        <v>139</v>
      </c>
      <c r="BE302" s="83">
        <f>IF($U$302="základní",$N$302,0)</f>
        <v>0</v>
      </c>
      <c r="BF302" s="83">
        <f>IF($U$302="snížená",$N$302,0)</f>
        <v>0</v>
      </c>
      <c r="BG302" s="83">
        <f>IF($U$302="zákl. přenesená",$N$302,0)</f>
        <v>0</v>
      </c>
      <c r="BH302" s="83">
        <f>IF($U$302="sníž. přenesená",$N$302,0)</f>
        <v>0</v>
      </c>
      <c r="BI302" s="83">
        <f>IF($U$302="nulová",$N$302,0)</f>
        <v>0</v>
      </c>
      <c r="BJ302" s="7" t="s">
        <v>17</v>
      </c>
      <c r="BK302" s="83">
        <f>ROUND($L$302*$K$302,2)</f>
        <v>0</v>
      </c>
      <c r="BL302" s="7" t="s">
        <v>255</v>
      </c>
    </row>
    <row r="303" spans="2:64" s="7" customFormat="1" ht="27" customHeight="1">
      <c r="B303" s="22"/>
      <c r="C303" s="124" t="s">
        <v>501</v>
      </c>
      <c r="D303" s="124" t="s">
        <v>140</v>
      </c>
      <c r="E303" s="125" t="s">
        <v>502</v>
      </c>
      <c r="F303" s="200" t="s">
        <v>503</v>
      </c>
      <c r="G303" s="192"/>
      <c r="H303" s="192"/>
      <c r="I303" s="192"/>
      <c r="J303" s="126" t="s">
        <v>208</v>
      </c>
      <c r="K303" s="127">
        <v>40.32</v>
      </c>
      <c r="L303" s="201"/>
      <c r="M303" s="202"/>
      <c r="N303" s="193">
        <f>ROUND($L$303*$K$303,2)</f>
        <v>0</v>
      </c>
      <c r="O303" s="192"/>
      <c r="P303" s="192"/>
      <c r="Q303" s="192"/>
      <c r="R303" s="23"/>
      <c r="T303" s="128"/>
      <c r="U303" s="29" t="s">
        <v>36</v>
      </c>
      <c r="V303" s="129">
        <v>0.183</v>
      </c>
      <c r="W303" s="129">
        <f>$V$303*$K$303</f>
        <v>7.37856</v>
      </c>
      <c r="X303" s="129">
        <v>0.00038</v>
      </c>
      <c r="Y303" s="129">
        <f>$X$303*$K$303</f>
        <v>0.015321600000000001</v>
      </c>
      <c r="Z303" s="129">
        <v>0</v>
      </c>
      <c r="AA303" s="130">
        <f>$Z$303*$K$303</f>
        <v>0</v>
      </c>
      <c r="AR303" s="7" t="s">
        <v>255</v>
      </c>
      <c r="AT303" s="7" t="s">
        <v>140</v>
      </c>
      <c r="AU303" s="7" t="s">
        <v>100</v>
      </c>
      <c r="AY303" s="7" t="s">
        <v>139</v>
      </c>
      <c r="BE303" s="83">
        <f>IF($U$303="základní",$N$303,0)</f>
        <v>0</v>
      </c>
      <c r="BF303" s="83">
        <f>IF($U$303="snížená",$N$303,0)</f>
        <v>0</v>
      </c>
      <c r="BG303" s="83">
        <f>IF($U$303="zákl. přenesená",$N$303,0)</f>
        <v>0</v>
      </c>
      <c r="BH303" s="83">
        <f>IF($U$303="sníž. přenesená",$N$303,0)</f>
        <v>0</v>
      </c>
      <c r="BI303" s="83">
        <f>IF($U$303="nulová",$N$303,0)</f>
        <v>0</v>
      </c>
      <c r="BJ303" s="7" t="s">
        <v>17</v>
      </c>
      <c r="BK303" s="83">
        <f>ROUND($L$303*$K$303,2)</f>
        <v>0</v>
      </c>
      <c r="BL303" s="7" t="s">
        <v>255</v>
      </c>
    </row>
    <row r="304" spans="2:51" s="7" customFormat="1" ht="15.75" customHeight="1">
      <c r="B304" s="131"/>
      <c r="E304" s="132"/>
      <c r="F304" s="203" t="s">
        <v>504</v>
      </c>
      <c r="G304" s="204"/>
      <c r="H304" s="204"/>
      <c r="I304" s="204"/>
      <c r="K304" s="133">
        <v>40.32</v>
      </c>
      <c r="L304" s="151"/>
      <c r="M304" s="151"/>
      <c r="R304" s="134"/>
      <c r="T304" s="135"/>
      <c r="AA304" s="136"/>
      <c r="AT304" s="132" t="s">
        <v>148</v>
      </c>
      <c r="AU304" s="132" t="s">
        <v>100</v>
      </c>
      <c r="AV304" s="132" t="s">
        <v>100</v>
      </c>
      <c r="AW304" s="132" t="s">
        <v>109</v>
      </c>
      <c r="AX304" s="132" t="s">
        <v>17</v>
      </c>
      <c r="AY304" s="132" t="s">
        <v>139</v>
      </c>
    </row>
    <row r="305" spans="2:64" s="7" customFormat="1" ht="27" customHeight="1">
      <c r="B305" s="22"/>
      <c r="C305" s="124" t="s">
        <v>505</v>
      </c>
      <c r="D305" s="124" t="s">
        <v>140</v>
      </c>
      <c r="E305" s="125" t="s">
        <v>506</v>
      </c>
      <c r="F305" s="200" t="s">
        <v>507</v>
      </c>
      <c r="G305" s="192"/>
      <c r="H305" s="192"/>
      <c r="I305" s="192"/>
      <c r="J305" s="126" t="s">
        <v>208</v>
      </c>
      <c r="K305" s="127">
        <v>36.72</v>
      </c>
      <c r="L305" s="201"/>
      <c r="M305" s="202"/>
      <c r="N305" s="193">
        <f>ROUND($L$305*$K$305,2)</f>
        <v>0</v>
      </c>
      <c r="O305" s="192"/>
      <c r="P305" s="192"/>
      <c r="Q305" s="192"/>
      <c r="R305" s="23"/>
      <c r="T305" s="128"/>
      <c r="U305" s="29" t="s">
        <v>36</v>
      </c>
      <c r="V305" s="129">
        <v>0.086</v>
      </c>
      <c r="W305" s="129">
        <f>$V$305*$K$305</f>
        <v>3.15792</v>
      </c>
      <c r="X305" s="129">
        <v>0.00064</v>
      </c>
      <c r="Y305" s="129">
        <f>$X$305*$K$305</f>
        <v>0.023500800000000002</v>
      </c>
      <c r="Z305" s="129">
        <v>0</v>
      </c>
      <c r="AA305" s="130">
        <f>$Z$305*$K$305</f>
        <v>0</v>
      </c>
      <c r="AR305" s="7" t="s">
        <v>255</v>
      </c>
      <c r="AT305" s="7" t="s">
        <v>140</v>
      </c>
      <c r="AU305" s="7" t="s">
        <v>100</v>
      </c>
      <c r="AY305" s="7" t="s">
        <v>139</v>
      </c>
      <c r="BE305" s="83">
        <f>IF($U$305="základní",$N$305,0)</f>
        <v>0</v>
      </c>
      <c r="BF305" s="83">
        <f>IF($U$305="snížená",$N$305,0)</f>
        <v>0</v>
      </c>
      <c r="BG305" s="83">
        <f>IF($U$305="zákl. přenesená",$N$305,0)</f>
        <v>0</v>
      </c>
      <c r="BH305" s="83">
        <f>IF($U$305="sníž. přenesená",$N$305,0)</f>
        <v>0</v>
      </c>
      <c r="BI305" s="83">
        <f>IF($U$305="nulová",$N$305,0)</f>
        <v>0</v>
      </c>
      <c r="BJ305" s="7" t="s">
        <v>17</v>
      </c>
      <c r="BK305" s="83">
        <f>ROUND($L$305*$K$305,2)</f>
        <v>0</v>
      </c>
      <c r="BL305" s="7" t="s">
        <v>255</v>
      </c>
    </row>
    <row r="306" spans="2:51" s="7" customFormat="1" ht="15.75" customHeight="1">
      <c r="B306" s="131"/>
      <c r="E306" s="132"/>
      <c r="F306" s="203" t="s">
        <v>508</v>
      </c>
      <c r="G306" s="204"/>
      <c r="H306" s="204"/>
      <c r="I306" s="204"/>
      <c r="K306" s="133">
        <v>36.72</v>
      </c>
      <c r="L306" s="151"/>
      <c r="M306" s="151"/>
      <c r="R306" s="134"/>
      <c r="T306" s="135"/>
      <c r="AA306" s="136"/>
      <c r="AT306" s="132" t="s">
        <v>148</v>
      </c>
      <c r="AU306" s="132" t="s">
        <v>100</v>
      </c>
      <c r="AV306" s="132" t="s">
        <v>100</v>
      </c>
      <c r="AW306" s="132" t="s">
        <v>109</v>
      </c>
      <c r="AX306" s="132" t="s">
        <v>17</v>
      </c>
      <c r="AY306" s="132" t="s">
        <v>139</v>
      </c>
    </row>
    <row r="307" spans="2:64" s="7" customFormat="1" ht="27" customHeight="1">
      <c r="B307" s="22"/>
      <c r="C307" s="143" t="s">
        <v>509</v>
      </c>
      <c r="D307" s="143" t="s">
        <v>162</v>
      </c>
      <c r="E307" s="144" t="s">
        <v>510</v>
      </c>
      <c r="F307" s="208" t="s">
        <v>511</v>
      </c>
      <c r="G307" s="209"/>
      <c r="H307" s="209"/>
      <c r="I307" s="209"/>
      <c r="J307" s="145" t="s">
        <v>253</v>
      </c>
      <c r="K307" s="146">
        <v>0.973</v>
      </c>
      <c r="L307" s="210"/>
      <c r="M307" s="211"/>
      <c r="N307" s="205">
        <f>ROUND($L$307*$K$307,2)</f>
        <v>0</v>
      </c>
      <c r="O307" s="192"/>
      <c r="P307" s="192"/>
      <c r="Q307" s="192"/>
      <c r="R307" s="23"/>
      <c r="T307" s="128"/>
      <c r="U307" s="29" t="s">
        <v>36</v>
      </c>
      <c r="V307" s="129">
        <v>0</v>
      </c>
      <c r="W307" s="129">
        <f>$V$307*$K$307</f>
        <v>0</v>
      </c>
      <c r="X307" s="129">
        <v>1</v>
      </c>
      <c r="Y307" s="129">
        <f>$X$307*$K$307</f>
        <v>0.973</v>
      </c>
      <c r="Z307" s="129">
        <v>0</v>
      </c>
      <c r="AA307" s="130">
        <f>$Z$307*$K$307</f>
        <v>0</v>
      </c>
      <c r="AR307" s="7" t="s">
        <v>313</v>
      </c>
      <c r="AT307" s="7" t="s">
        <v>162</v>
      </c>
      <c r="AU307" s="7" t="s">
        <v>100</v>
      </c>
      <c r="AY307" s="7" t="s">
        <v>139</v>
      </c>
      <c r="BE307" s="83">
        <f>IF($U$307="základní",$N$307,0)</f>
        <v>0</v>
      </c>
      <c r="BF307" s="83">
        <f>IF($U$307="snížená",$N$307,0)</f>
        <v>0</v>
      </c>
      <c r="BG307" s="83">
        <f>IF($U$307="zákl. přenesená",$N$307,0)</f>
        <v>0</v>
      </c>
      <c r="BH307" s="83">
        <f>IF($U$307="sníž. přenesená",$N$307,0)</f>
        <v>0</v>
      </c>
      <c r="BI307" s="83">
        <f>IF($U$307="nulová",$N$307,0)</f>
        <v>0</v>
      </c>
      <c r="BJ307" s="7" t="s">
        <v>17</v>
      </c>
      <c r="BK307" s="83">
        <f>ROUND($L$307*$K$307,2)</f>
        <v>0</v>
      </c>
      <c r="BL307" s="7" t="s">
        <v>255</v>
      </c>
    </row>
    <row r="308" spans="2:64" s="7" customFormat="1" ht="27" customHeight="1">
      <c r="B308" s="22"/>
      <c r="C308" s="124" t="s">
        <v>512</v>
      </c>
      <c r="D308" s="124" t="s">
        <v>140</v>
      </c>
      <c r="E308" s="125" t="s">
        <v>513</v>
      </c>
      <c r="F308" s="200" t="s">
        <v>514</v>
      </c>
      <c r="G308" s="192"/>
      <c r="H308" s="192"/>
      <c r="I308" s="192"/>
      <c r="J308" s="126" t="s">
        <v>208</v>
      </c>
      <c r="K308" s="127">
        <v>55.2</v>
      </c>
      <c r="L308" s="201"/>
      <c r="M308" s="202"/>
      <c r="N308" s="193">
        <f>ROUND($L$308*$K$308,2)</f>
        <v>0</v>
      </c>
      <c r="O308" s="192"/>
      <c r="P308" s="192"/>
      <c r="Q308" s="192"/>
      <c r="R308" s="23"/>
      <c r="T308" s="128"/>
      <c r="U308" s="29" t="s">
        <v>36</v>
      </c>
      <c r="V308" s="129">
        <v>0.058</v>
      </c>
      <c r="W308" s="129">
        <f>$V$308*$K$308</f>
        <v>3.2016000000000004</v>
      </c>
      <c r="X308" s="129">
        <v>0</v>
      </c>
      <c r="Y308" s="129">
        <f>$X$308*$K$308</f>
        <v>0</v>
      </c>
      <c r="Z308" s="129">
        <v>0</v>
      </c>
      <c r="AA308" s="130">
        <f>$Z$308*$K$308</f>
        <v>0</v>
      </c>
      <c r="AR308" s="7" t="s">
        <v>255</v>
      </c>
      <c r="AT308" s="7" t="s">
        <v>140</v>
      </c>
      <c r="AU308" s="7" t="s">
        <v>100</v>
      </c>
      <c r="AY308" s="7" t="s">
        <v>139</v>
      </c>
      <c r="BE308" s="83">
        <f>IF($U$308="základní",$N$308,0)</f>
        <v>0</v>
      </c>
      <c r="BF308" s="83">
        <f>IF($U$308="snížená",$N$308,0)</f>
        <v>0</v>
      </c>
      <c r="BG308" s="83">
        <f>IF($U$308="zákl. přenesená",$N$308,0)</f>
        <v>0</v>
      </c>
      <c r="BH308" s="83">
        <f>IF($U$308="sníž. přenesená",$N$308,0)</f>
        <v>0</v>
      </c>
      <c r="BI308" s="83">
        <f>IF($U$308="nulová",$N$308,0)</f>
        <v>0</v>
      </c>
      <c r="BJ308" s="7" t="s">
        <v>17</v>
      </c>
      <c r="BK308" s="83">
        <f>ROUND($L$308*$K$308,2)</f>
        <v>0</v>
      </c>
      <c r="BL308" s="7" t="s">
        <v>255</v>
      </c>
    </row>
    <row r="309" spans="2:51" s="7" customFormat="1" ht="15.75" customHeight="1">
      <c r="B309" s="131"/>
      <c r="E309" s="132"/>
      <c r="F309" s="203" t="s">
        <v>496</v>
      </c>
      <c r="G309" s="204"/>
      <c r="H309" s="204"/>
      <c r="I309" s="204"/>
      <c r="K309" s="133">
        <v>38.08</v>
      </c>
      <c r="L309" s="151"/>
      <c r="M309" s="151"/>
      <c r="R309" s="134"/>
      <c r="T309" s="135"/>
      <c r="AA309" s="136"/>
      <c r="AT309" s="132" t="s">
        <v>148</v>
      </c>
      <c r="AU309" s="132" t="s">
        <v>100</v>
      </c>
      <c r="AV309" s="132" t="s">
        <v>100</v>
      </c>
      <c r="AW309" s="132" t="s">
        <v>109</v>
      </c>
      <c r="AX309" s="132" t="s">
        <v>71</v>
      </c>
      <c r="AY309" s="132" t="s">
        <v>139</v>
      </c>
    </row>
    <row r="310" spans="2:51" s="7" customFormat="1" ht="15.75" customHeight="1">
      <c r="B310" s="131"/>
      <c r="E310" s="132"/>
      <c r="F310" s="203" t="s">
        <v>497</v>
      </c>
      <c r="G310" s="204"/>
      <c r="H310" s="204"/>
      <c r="I310" s="204"/>
      <c r="K310" s="133">
        <v>17.12</v>
      </c>
      <c r="L310" s="151"/>
      <c r="M310" s="151"/>
      <c r="R310" s="134"/>
      <c r="T310" s="135"/>
      <c r="AA310" s="136"/>
      <c r="AT310" s="132" t="s">
        <v>148</v>
      </c>
      <c r="AU310" s="132" t="s">
        <v>100</v>
      </c>
      <c r="AV310" s="132" t="s">
        <v>100</v>
      </c>
      <c r="AW310" s="132" t="s">
        <v>109</v>
      </c>
      <c r="AX310" s="132" t="s">
        <v>71</v>
      </c>
      <c r="AY310" s="132" t="s">
        <v>139</v>
      </c>
    </row>
    <row r="311" spans="2:51" s="7" customFormat="1" ht="15.75" customHeight="1">
      <c r="B311" s="137"/>
      <c r="E311" s="138"/>
      <c r="F311" s="206" t="s">
        <v>156</v>
      </c>
      <c r="G311" s="207"/>
      <c r="H311" s="207"/>
      <c r="I311" s="207"/>
      <c r="K311" s="139">
        <v>55.2</v>
      </c>
      <c r="L311" s="151"/>
      <c r="M311" s="151"/>
      <c r="R311" s="140"/>
      <c r="T311" s="141"/>
      <c r="AA311" s="142"/>
      <c r="AT311" s="138" t="s">
        <v>148</v>
      </c>
      <c r="AU311" s="138" t="s">
        <v>100</v>
      </c>
      <c r="AV311" s="138" t="s">
        <v>144</v>
      </c>
      <c r="AW311" s="138" t="s">
        <v>109</v>
      </c>
      <c r="AX311" s="138" t="s">
        <v>17</v>
      </c>
      <c r="AY311" s="138" t="s">
        <v>139</v>
      </c>
    </row>
    <row r="312" spans="2:64" s="7" customFormat="1" ht="15.75" customHeight="1">
      <c r="B312" s="22"/>
      <c r="C312" s="143" t="s">
        <v>515</v>
      </c>
      <c r="D312" s="143" t="s">
        <v>162</v>
      </c>
      <c r="E312" s="144" t="s">
        <v>516</v>
      </c>
      <c r="F312" s="208" t="s">
        <v>517</v>
      </c>
      <c r="G312" s="209"/>
      <c r="H312" s="209"/>
      <c r="I312" s="209"/>
      <c r="J312" s="145" t="s">
        <v>253</v>
      </c>
      <c r="K312" s="146">
        <v>0.019</v>
      </c>
      <c r="L312" s="210"/>
      <c r="M312" s="211"/>
      <c r="N312" s="205">
        <f>ROUND($L$312*$K$312,2)</f>
        <v>0</v>
      </c>
      <c r="O312" s="192"/>
      <c r="P312" s="192"/>
      <c r="Q312" s="192"/>
      <c r="R312" s="23"/>
      <c r="T312" s="128"/>
      <c r="U312" s="29" t="s">
        <v>36</v>
      </c>
      <c r="V312" s="129">
        <v>0</v>
      </c>
      <c r="W312" s="129">
        <f>$V$312*$K$312</f>
        <v>0</v>
      </c>
      <c r="X312" s="129">
        <v>1</v>
      </c>
      <c r="Y312" s="129">
        <f>$X$312*$K$312</f>
        <v>0.019</v>
      </c>
      <c r="Z312" s="129">
        <v>0</v>
      </c>
      <c r="AA312" s="130">
        <f>$Z$312*$K$312</f>
        <v>0</v>
      </c>
      <c r="AR312" s="7" t="s">
        <v>313</v>
      </c>
      <c r="AT312" s="7" t="s">
        <v>162</v>
      </c>
      <c r="AU312" s="7" t="s">
        <v>100</v>
      </c>
      <c r="AY312" s="7" t="s">
        <v>139</v>
      </c>
      <c r="BE312" s="83">
        <f>IF($U$312="základní",$N$312,0)</f>
        <v>0</v>
      </c>
      <c r="BF312" s="83">
        <f>IF($U$312="snížená",$N$312,0)</f>
        <v>0</v>
      </c>
      <c r="BG312" s="83">
        <f>IF($U$312="zákl. přenesená",$N$312,0)</f>
        <v>0</v>
      </c>
      <c r="BH312" s="83">
        <f>IF($U$312="sníž. přenesená",$N$312,0)</f>
        <v>0</v>
      </c>
      <c r="BI312" s="83">
        <f>IF($U$312="nulová",$N$312,0)</f>
        <v>0</v>
      </c>
      <c r="BJ312" s="7" t="s">
        <v>17</v>
      </c>
      <c r="BK312" s="83">
        <f>ROUND($L$312*$K$312,2)</f>
        <v>0</v>
      </c>
      <c r="BL312" s="7" t="s">
        <v>255</v>
      </c>
    </row>
    <row r="313" spans="2:47" s="7" customFormat="1" ht="25.5" customHeight="1">
      <c r="B313" s="22"/>
      <c r="F313" s="224" t="s">
        <v>518</v>
      </c>
      <c r="G313" s="159"/>
      <c r="H313" s="159"/>
      <c r="I313" s="159"/>
      <c r="L313" s="151"/>
      <c r="M313" s="151"/>
      <c r="R313" s="23"/>
      <c r="T313" s="54"/>
      <c r="AA313" s="55"/>
      <c r="AT313" s="7" t="s">
        <v>519</v>
      </c>
      <c r="AU313" s="7" t="s">
        <v>100</v>
      </c>
    </row>
    <row r="314" spans="2:64" s="7" customFormat="1" ht="27" customHeight="1">
      <c r="B314" s="22"/>
      <c r="C314" s="124" t="s">
        <v>520</v>
      </c>
      <c r="D314" s="124" t="s">
        <v>140</v>
      </c>
      <c r="E314" s="125" t="s">
        <v>521</v>
      </c>
      <c r="F314" s="200" t="s">
        <v>522</v>
      </c>
      <c r="G314" s="192"/>
      <c r="H314" s="192"/>
      <c r="I314" s="192"/>
      <c r="J314" s="126" t="s">
        <v>208</v>
      </c>
      <c r="K314" s="127">
        <v>55.2</v>
      </c>
      <c r="L314" s="201"/>
      <c r="M314" s="202"/>
      <c r="N314" s="193">
        <f>ROUND($L$314*$K$314,2)</f>
        <v>0</v>
      </c>
      <c r="O314" s="192"/>
      <c r="P314" s="192"/>
      <c r="Q314" s="192"/>
      <c r="R314" s="23"/>
      <c r="T314" s="128"/>
      <c r="U314" s="29" t="s">
        <v>36</v>
      </c>
      <c r="V314" s="129">
        <v>0.148</v>
      </c>
      <c r="W314" s="129">
        <f>$V$314*$K$314</f>
        <v>8.1696</v>
      </c>
      <c r="X314" s="129">
        <v>0</v>
      </c>
      <c r="Y314" s="129">
        <f>$X$314*$K$314</f>
        <v>0</v>
      </c>
      <c r="Z314" s="129">
        <v>0</v>
      </c>
      <c r="AA314" s="130">
        <f>$Z$314*$K$314</f>
        <v>0</v>
      </c>
      <c r="AR314" s="7" t="s">
        <v>255</v>
      </c>
      <c r="AT314" s="7" t="s">
        <v>140</v>
      </c>
      <c r="AU314" s="7" t="s">
        <v>100</v>
      </c>
      <c r="AY314" s="7" t="s">
        <v>139</v>
      </c>
      <c r="BE314" s="83">
        <f>IF($U$314="základní",$N$314,0)</f>
        <v>0</v>
      </c>
      <c r="BF314" s="83">
        <f>IF($U$314="snížená",$N$314,0)</f>
        <v>0</v>
      </c>
      <c r="BG314" s="83">
        <f>IF($U$314="zákl. přenesená",$N$314,0)</f>
        <v>0</v>
      </c>
      <c r="BH314" s="83">
        <f>IF($U$314="sníž. přenesená",$N$314,0)</f>
        <v>0</v>
      </c>
      <c r="BI314" s="83">
        <f>IF($U$314="nulová",$N$314,0)</f>
        <v>0</v>
      </c>
      <c r="BJ314" s="7" t="s">
        <v>17</v>
      </c>
      <c r="BK314" s="83">
        <f>ROUND($L$314*$K$314,2)</f>
        <v>0</v>
      </c>
      <c r="BL314" s="7" t="s">
        <v>255</v>
      </c>
    </row>
    <row r="315" spans="2:51" s="7" customFormat="1" ht="15.75" customHeight="1">
      <c r="B315" s="131"/>
      <c r="E315" s="132"/>
      <c r="F315" s="203" t="s">
        <v>496</v>
      </c>
      <c r="G315" s="204"/>
      <c r="H315" s="204"/>
      <c r="I315" s="204"/>
      <c r="K315" s="133">
        <v>38.08</v>
      </c>
      <c r="L315" s="151"/>
      <c r="M315" s="151"/>
      <c r="R315" s="134"/>
      <c r="T315" s="135"/>
      <c r="AA315" s="136"/>
      <c r="AT315" s="132" t="s">
        <v>148</v>
      </c>
      <c r="AU315" s="132" t="s">
        <v>100</v>
      </c>
      <c r="AV315" s="132" t="s">
        <v>100</v>
      </c>
      <c r="AW315" s="132" t="s">
        <v>109</v>
      </c>
      <c r="AX315" s="132" t="s">
        <v>71</v>
      </c>
      <c r="AY315" s="132" t="s">
        <v>139</v>
      </c>
    </row>
    <row r="316" spans="2:51" s="7" customFormat="1" ht="15.75" customHeight="1">
      <c r="B316" s="131"/>
      <c r="E316" s="132"/>
      <c r="F316" s="203" t="s">
        <v>497</v>
      </c>
      <c r="G316" s="204"/>
      <c r="H316" s="204"/>
      <c r="I316" s="204"/>
      <c r="K316" s="133">
        <v>17.12</v>
      </c>
      <c r="L316" s="151"/>
      <c r="M316" s="151"/>
      <c r="R316" s="134"/>
      <c r="T316" s="135"/>
      <c r="AA316" s="136"/>
      <c r="AT316" s="132" t="s">
        <v>148</v>
      </c>
      <c r="AU316" s="132" t="s">
        <v>100</v>
      </c>
      <c r="AV316" s="132" t="s">
        <v>100</v>
      </c>
      <c r="AW316" s="132" t="s">
        <v>109</v>
      </c>
      <c r="AX316" s="132" t="s">
        <v>71</v>
      </c>
      <c r="AY316" s="132" t="s">
        <v>139</v>
      </c>
    </row>
    <row r="317" spans="2:51" s="7" customFormat="1" ht="15.75" customHeight="1">
      <c r="B317" s="137"/>
      <c r="E317" s="138"/>
      <c r="F317" s="206" t="s">
        <v>156</v>
      </c>
      <c r="G317" s="207"/>
      <c r="H317" s="207"/>
      <c r="I317" s="207"/>
      <c r="K317" s="139">
        <v>55.2</v>
      </c>
      <c r="L317" s="151"/>
      <c r="M317" s="151"/>
      <c r="R317" s="140"/>
      <c r="T317" s="141"/>
      <c r="AA317" s="142"/>
      <c r="AT317" s="138" t="s">
        <v>148</v>
      </c>
      <c r="AU317" s="138" t="s">
        <v>100</v>
      </c>
      <c r="AV317" s="138" t="s">
        <v>144</v>
      </c>
      <c r="AW317" s="138" t="s">
        <v>109</v>
      </c>
      <c r="AX317" s="138" t="s">
        <v>17</v>
      </c>
      <c r="AY317" s="138" t="s">
        <v>139</v>
      </c>
    </row>
    <row r="318" spans="2:64" s="7" customFormat="1" ht="15.75" customHeight="1">
      <c r="B318" s="22"/>
      <c r="C318" s="143" t="s">
        <v>523</v>
      </c>
      <c r="D318" s="143" t="s">
        <v>162</v>
      </c>
      <c r="E318" s="144" t="s">
        <v>524</v>
      </c>
      <c r="F318" s="208" t="s">
        <v>525</v>
      </c>
      <c r="G318" s="209"/>
      <c r="H318" s="209"/>
      <c r="I318" s="209"/>
      <c r="J318" s="145" t="s">
        <v>208</v>
      </c>
      <c r="K318" s="146">
        <v>57.96</v>
      </c>
      <c r="L318" s="210"/>
      <c r="M318" s="211"/>
      <c r="N318" s="205">
        <f>ROUND($L$318*$K$318,2)</f>
        <v>0</v>
      </c>
      <c r="O318" s="192"/>
      <c r="P318" s="192"/>
      <c r="Q318" s="192"/>
      <c r="R318" s="23"/>
      <c r="T318" s="128"/>
      <c r="U318" s="29" t="s">
        <v>36</v>
      </c>
      <c r="V318" s="129">
        <v>0</v>
      </c>
      <c r="W318" s="129">
        <f>$V$318*$K$318</f>
        <v>0</v>
      </c>
      <c r="X318" s="129">
        <v>0.0003</v>
      </c>
      <c r="Y318" s="129">
        <f>$X$318*$K$318</f>
        <v>0.017387999999999997</v>
      </c>
      <c r="Z318" s="129">
        <v>0</v>
      </c>
      <c r="AA318" s="130">
        <f>$Z$318*$K$318</f>
        <v>0</v>
      </c>
      <c r="AR318" s="7" t="s">
        <v>313</v>
      </c>
      <c r="AT318" s="7" t="s">
        <v>162</v>
      </c>
      <c r="AU318" s="7" t="s">
        <v>100</v>
      </c>
      <c r="AY318" s="7" t="s">
        <v>139</v>
      </c>
      <c r="BE318" s="83">
        <f>IF($U$318="základní",$N$318,0)</f>
        <v>0</v>
      </c>
      <c r="BF318" s="83">
        <f>IF($U$318="snížená",$N$318,0)</f>
        <v>0</v>
      </c>
      <c r="BG318" s="83">
        <f>IF($U$318="zákl. přenesená",$N$318,0)</f>
        <v>0</v>
      </c>
      <c r="BH318" s="83">
        <f>IF($U$318="sníž. přenesená",$N$318,0)</f>
        <v>0</v>
      </c>
      <c r="BI318" s="83">
        <f>IF($U$318="nulová",$N$318,0)</f>
        <v>0</v>
      </c>
      <c r="BJ318" s="7" t="s">
        <v>17</v>
      </c>
      <c r="BK318" s="83">
        <f>ROUND($L$318*$K$318,2)</f>
        <v>0</v>
      </c>
      <c r="BL318" s="7" t="s">
        <v>255</v>
      </c>
    </row>
    <row r="319" spans="2:64" s="7" customFormat="1" ht="27" customHeight="1">
      <c r="B319" s="22"/>
      <c r="C319" s="124" t="s">
        <v>526</v>
      </c>
      <c r="D319" s="124" t="s">
        <v>140</v>
      </c>
      <c r="E319" s="125" t="s">
        <v>527</v>
      </c>
      <c r="F319" s="200" t="s">
        <v>528</v>
      </c>
      <c r="G319" s="192"/>
      <c r="H319" s="192"/>
      <c r="I319" s="192"/>
      <c r="J319" s="126" t="s">
        <v>253</v>
      </c>
      <c r="K319" s="127">
        <v>1.327</v>
      </c>
      <c r="L319" s="201"/>
      <c r="M319" s="202"/>
      <c r="N319" s="193">
        <f>ROUND($L$319*$K$319,2)</f>
        <v>0</v>
      </c>
      <c r="O319" s="192"/>
      <c r="P319" s="192"/>
      <c r="Q319" s="192"/>
      <c r="R319" s="23"/>
      <c r="T319" s="128"/>
      <c r="U319" s="29" t="s">
        <v>36</v>
      </c>
      <c r="V319" s="129">
        <v>1.567</v>
      </c>
      <c r="W319" s="129">
        <f>$V$319*$K$319</f>
        <v>2.079409</v>
      </c>
      <c r="X319" s="129">
        <v>0</v>
      </c>
      <c r="Y319" s="129">
        <f>$X$319*$K$319</f>
        <v>0</v>
      </c>
      <c r="Z319" s="129">
        <v>0</v>
      </c>
      <c r="AA319" s="130">
        <f>$Z$319*$K$319</f>
        <v>0</v>
      </c>
      <c r="AR319" s="7" t="s">
        <v>255</v>
      </c>
      <c r="AT319" s="7" t="s">
        <v>140</v>
      </c>
      <c r="AU319" s="7" t="s">
        <v>100</v>
      </c>
      <c r="AY319" s="7" t="s">
        <v>139</v>
      </c>
      <c r="BE319" s="83">
        <f>IF($U$319="základní",$N$319,0)</f>
        <v>0</v>
      </c>
      <c r="BF319" s="83">
        <f>IF($U$319="snížená",$N$319,0)</f>
        <v>0</v>
      </c>
      <c r="BG319" s="83">
        <f>IF($U$319="zákl. přenesená",$N$319,0)</f>
        <v>0</v>
      </c>
      <c r="BH319" s="83">
        <f>IF($U$319="sníž. přenesená",$N$319,0)</f>
        <v>0</v>
      </c>
      <c r="BI319" s="83">
        <f>IF($U$319="nulová",$N$319,0)</f>
        <v>0</v>
      </c>
      <c r="BJ319" s="7" t="s">
        <v>17</v>
      </c>
      <c r="BK319" s="83">
        <f>ROUND($L$319*$K$319,2)</f>
        <v>0</v>
      </c>
      <c r="BL319" s="7" t="s">
        <v>255</v>
      </c>
    </row>
    <row r="320" spans="2:63" s="7" customFormat="1" ht="51" customHeight="1">
      <c r="B320" s="22"/>
      <c r="D320" s="116" t="s">
        <v>194</v>
      </c>
      <c r="N320" s="195">
        <f>$BK$320</f>
        <v>0</v>
      </c>
      <c r="O320" s="159"/>
      <c r="P320" s="159"/>
      <c r="Q320" s="159"/>
      <c r="R320" s="23"/>
      <c r="T320" s="54"/>
      <c r="AA320" s="55"/>
      <c r="AT320" s="7" t="s">
        <v>70</v>
      </c>
      <c r="AU320" s="7" t="s">
        <v>71</v>
      </c>
      <c r="AY320" s="7" t="s">
        <v>195</v>
      </c>
      <c r="BK320" s="83">
        <f>SUM($BK$321:$BK$325)</f>
        <v>0</v>
      </c>
    </row>
    <row r="321" spans="2:63" s="7" customFormat="1" ht="23.25" customHeight="1">
      <c r="B321" s="22"/>
      <c r="C321" s="147"/>
      <c r="D321" s="147" t="s">
        <v>140</v>
      </c>
      <c r="E321" s="148"/>
      <c r="F321" s="189"/>
      <c r="G321" s="190"/>
      <c r="H321" s="190"/>
      <c r="I321" s="190"/>
      <c r="J321" s="149"/>
      <c r="K321" s="127"/>
      <c r="L321" s="191"/>
      <c r="M321" s="192"/>
      <c r="N321" s="193">
        <f>$BK$321</f>
        <v>0</v>
      </c>
      <c r="O321" s="192"/>
      <c r="P321" s="192"/>
      <c r="Q321" s="192"/>
      <c r="R321" s="23"/>
      <c r="T321" s="128"/>
      <c r="U321" s="150" t="s">
        <v>36</v>
      </c>
      <c r="AA321" s="55"/>
      <c r="AT321" s="7" t="s">
        <v>195</v>
      </c>
      <c r="AU321" s="7" t="s">
        <v>17</v>
      </c>
      <c r="AY321" s="7" t="s">
        <v>195</v>
      </c>
      <c r="BE321" s="83">
        <f>IF($U$321="základní",$N$321,0)</f>
        <v>0</v>
      </c>
      <c r="BF321" s="83">
        <f>IF($U$321="snížená",$N$321,0)</f>
        <v>0</v>
      </c>
      <c r="BG321" s="83">
        <f>IF($U$321="zákl. přenesená",$N$321,0)</f>
        <v>0</v>
      </c>
      <c r="BH321" s="83">
        <f>IF($U$321="sníž. přenesená",$N$321,0)</f>
        <v>0</v>
      </c>
      <c r="BI321" s="83">
        <f>IF($U$321="nulová",$N$321,0)</f>
        <v>0</v>
      </c>
      <c r="BJ321" s="7" t="s">
        <v>17</v>
      </c>
      <c r="BK321" s="83">
        <f>$L$321*$K$321</f>
        <v>0</v>
      </c>
    </row>
    <row r="322" spans="2:63" s="7" customFormat="1" ht="23.25" customHeight="1">
      <c r="B322" s="22"/>
      <c r="C322" s="147"/>
      <c r="D322" s="147" t="s">
        <v>140</v>
      </c>
      <c r="E322" s="148"/>
      <c r="F322" s="189"/>
      <c r="G322" s="190"/>
      <c r="H322" s="190"/>
      <c r="I322" s="190"/>
      <c r="J322" s="149"/>
      <c r="K322" s="127"/>
      <c r="L322" s="191"/>
      <c r="M322" s="192"/>
      <c r="N322" s="193">
        <f>$BK$322</f>
        <v>0</v>
      </c>
      <c r="O322" s="192"/>
      <c r="P322" s="192"/>
      <c r="Q322" s="192"/>
      <c r="R322" s="23"/>
      <c r="T322" s="128"/>
      <c r="U322" s="150" t="s">
        <v>36</v>
      </c>
      <c r="AA322" s="55"/>
      <c r="AT322" s="7" t="s">
        <v>195</v>
      </c>
      <c r="AU322" s="7" t="s">
        <v>17</v>
      </c>
      <c r="AY322" s="7" t="s">
        <v>195</v>
      </c>
      <c r="BE322" s="83">
        <f>IF($U$322="základní",$N$322,0)</f>
        <v>0</v>
      </c>
      <c r="BF322" s="83">
        <f>IF($U$322="snížená",$N$322,0)</f>
        <v>0</v>
      </c>
      <c r="BG322" s="83">
        <f>IF($U$322="zákl. přenesená",$N$322,0)</f>
        <v>0</v>
      </c>
      <c r="BH322" s="83">
        <f>IF($U$322="sníž. přenesená",$N$322,0)</f>
        <v>0</v>
      </c>
      <c r="BI322" s="83">
        <f>IF($U$322="nulová",$N$322,0)</f>
        <v>0</v>
      </c>
      <c r="BJ322" s="7" t="s">
        <v>17</v>
      </c>
      <c r="BK322" s="83">
        <f>$L$322*$K$322</f>
        <v>0</v>
      </c>
    </row>
    <row r="323" spans="2:63" s="7" customFormat="1" ht="23.25" customHeight="1">
      <c r="B323" s="22"/>
      <c r="C323" s="147"/>
      <c r="D323" s="147" t="s">
        <v>140</v>
      </c>
      <c r="E323" s="148"/>
      <c r="F323" s="189"/>
      <c r="G323" s="190"/>
      <c r="H323" s="190"/>
      <c r="I323" s="190"/>
      <c r="J323" s="149"/>
      <c r="K323" s="127"/>
      <c r="L323" s="191"/>
      <c r="M323" s="192"/>
      <c r="N323" s="193">
        <f>$BK$323</f>
        <v>0</v>
      </c>
      <c r="O323" s="192"/>
      <c r="P323" s="192"/>
      <c r="Q323" s="192"/>
      <c r="R323" s="23"/>
      <c r="T323" s="128"/>
      <c r="U323" s="150" t="s">
        <v>36</v>
      </c>
      <c r="AA323" s="55"/>
      <c r="AT323" s="7" t="s">
        <v>195</v>
      </c>
      <c r="AU323" s="7" t="s">
        <v>17</v>
      </c>
      <c r="AY323" s="7" t="s">
        <v>195</v>
      </c>
      <c r="BE323" s="83">
        <f>IF($U$323="základní",$N$323,0)</f>
        <v>0</v>
      </c>
      <c r="BF323" s="83">
        <f>IF($U$323="snížená",$N$323,0)</f>
        <v>0</v>
      </c>
      <c r="BG323" s="83">
        <f>IF($U$323="zákl. přenesená",$N$323,0)</f>
        <v>0</v>
      </c>
      <c r="BH323" s="83">
        <f>IF($U$323="sníž. přenesená",$N$323,0)</f>
        <v>0</v>
      </c>
      <c r="BI323" s="83">
        <f>IF($U$323="nulová",$N$323,0)</f>
        <v>0</v>
      </c>
      <c r="BJ323" s="7" t="s">
        <v>17</v>
      </c>
      <c r="BK323" s="83">
        <f>$L$323*$K$323</f>
        <v>0</v>
      </c>
    </row>
    <row r="324" spans="2:63" s="7" customFormat="1" ht="23.25" customHeight="1">
      <c r="B324" s="22"/>
      <c r="C324" s="147"/>
      <c r="D324" s="147" t="s">
        <v>140</v>
      </c>
      <c r="E324" s="148"/>
      <c r="F324" s="189"/>
      <c r="G324" s="190"/>
      <c r="H324" s="190"/>
      <c r="I324" s="190"/>
      <c r="J324" s="149"/>
      <c r="K324" s="127"/>
      <c r="L324" s="191"/>
      <c r="M324" s="192"/>
      <c r="N324" s="193">
        <f>$BK$324</f>
        <v>0</v>
      </c>
      <c r="O324" s="192"/>
      <c r="P324" s="192"/>
      <c r="Q324" s="192"/>
      <c r="R324" s="23"/>
      <c r="T324" s="128"/>
      <c r="U324" s="150" t="s">
        <v>36</v>
      </c>
      <c r="AA324" s="55"/>
      <c r="AT324" s="7" t="s">
        <v>195</v>
      </c>
      <c r="AU324" s="7" t="s">
        <v>17</v>
      </c>
      <c r="AY324" s="7" t="s">
        <v>195</v>
      </c>
      <c r="BE324" s="83">
        <f>IF($U$324="základní",$N$324,0)</f>
        <v>0</v>
      </c>
      <c r="BF324" s="83">
        <f>IF($U$324="snížená",$N$324,0)</f>
        <v>0</v>
      </c>
      <c r="BG324" s="83">
        <f>IF($U$324="zákl. přenesená",$N$324,0)</f>
        <v>0</v>
      </c>
      <c r="BH324" s="83">
        <f>IF($U$324="sníž. přenesená",$N$324,0)</f>
        <v>0</v>
      </c>
      <c r="BI324" s="83">
        <f>IF($U$324="nulová",$N$324,0)</f>
        <v>0</v>
      </c>
      <c r="BJ324" s="7" t="s">
        <v>17</v>
      </c>
      <c r="BK324" s="83">
        <f>$L$324*$K$324</f>
        <v>0</v>
      </c>
    </row>
    <row r="325" spans="2:63" s="7" customFormat="1" ht="23.25" customHeight="1">
      <c r="B325" s="22"/>
      <c r="C325" s="147"/>
      <c r="D325" s="147" t="s">
        <v>140</v>
      </c>
      <c r="E325" s="148"/>
      <c r="F325" s="189"/>
      <c r="G325" s="190"/>
      <c r="H325" s="190"/>
      <c r="I325" s="190"/>
      <c r="J325" s="149"/>
      <c r="K325" s="127"/>
      <c r="L325" s="191"/>
      <c r="M325" s="192"/>
      <c r="N325" s="193">
        <f>$BK$325</f>
        <v>0</v>
      </c>
      <c r="O325" s="192"/>
      <c r="P325" s="192"/>
      <c r="Q325" s="192"/>
      <c r="R325" s="23"/>
      <c r="T325" s="128"/>
      <c r="U325" s="150" t="s">
        <v>36</v>
      </c>
      <c r="V325" s="41"/>
      <c r="W325" s="41"/>
      <c r="X325" s="41"/>
      <c r="Y325" s="41"/>
      <c r="Z325" s="41"/>
      <c r="AA325" s="43"/>
      <c r="AT325" s="7" t="s">
        <v>195</v>
      </c>
      <c r="AU325" s="7" t="s">
        <v>17</v>
      </c>
      <c r="AY325" s="7" t="s">
        <v>195</v>
      </c>
      <c r="BE325" s="83">
        <f>IF($U$325="základní",$N$325,0)</f>
        <v>0</v>
      </c>
      <c r="BF325" s="83">
        <f>IF($U$325="snížená",$N$325,0)</f>
        <v>0</v>
      </c>
      <c r="BG325" s="83">
        <f>IF($U$325="zákl. přenesená",$N$325,0)</f>
        <v>0</v>
      </c>
      <c r="BH325" s="83">
        <f>IF($U$325="sníž. přenesená",$N$325,0)</f>
        <v>0</v>
      </c>
      <c r="BI325" s="83">
        <f>IF($U$325="nulová",$N$325,0)</f>
        <v>0</v>
      </c>
      <c r="BJ325" s="7" t="s">
        <v>17</v>
      </c>
      <c r="BK325" s="83">
        <f>$L$325*$K$325</f>
        <v>0</v>
      </c>
    </row>
    <row r="326" spans="2:18" s="7" customFormat="1" ht="7.5" customHeight="1">
      <c r="B326" s="4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</row>
    <row r="327" spans="32:43" ht="14.25" customHeight="1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</sheetData>
  <sheetProtection sheet="1"/>
  <mergeCells count="460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H33:J33"/>
    <mergeCell ref="M33:P33"/>
    <mergeCell ref="L35:P35"/>
    <mergeCell ref="C76:Q76"/>
    <mergeCell ref="H31:J31"/>
    <mergeCell ref="M31:P31"/>
    <mergeCell ref="H32:J32"/>
    <mergeCell ref="M32:P32"/>
    <mergeCell ref="M84:Q84"/>
    <mergeCell ref="C86:G86"/>
    <mergeCell ref="N86:Q86"/>
    <mergeCell ref="N88:Q88"/>
    <mergeCell ref="F78:P78"/>
    <mergeCell ref="F79:P79"/>
    <mergeCell ref="M81:P81"/>
    <mergeCell ref="M83:Q83"/>
    <mergeCell ref="N93:Q93"/>
    <mergeCell ref="N94:Q94"/>
    <mergeCell ref="N95:Q95"/>
    <mergeCell ref="N96:Q96"/>
    <mergeCell ref="N89:Q89"/>
    <mergeCell ref="N90:Q90"/>
    <mergeCell ref="N91:Q91"/>
    <mergeCell ref="N92:Q92"/>
    <mergeCell ref="N102:Q102"/>
    <mergeCell ref="D103:H103"/>
    <mergeCell ref="N103:Q103"/>
    <mergeCell ref="D104:H104"/>
    <mergeCell ref="N104:Q104"/>
    <mergeCell ref="N97:Q97"/>
    <mergeCell ref="N98:Q98"/>
    <mergeCell ref="N99:Q99"/>
    <mergeCell ref="N100:Q100"/>
    <mergeCell ref="D107:H107"/>
    <mergeCell ref="N107:Q107"/>
    <mergeCell ref="N108:Q108"/>
    <mergeCell ref="L110:Q110"/>
    <mergeCell ref="D105:H105"/>
    <mergeCell ref="N105:Q105"/>
    <mergeCell ref="D106:H106"/>
    <mergeCell ref="N106:Q106"/>
    <mergeCell ref="F126:I126"/>
    <mergeCell ref="L126:M126"/>
    <mergeCell ref="N126:Q126"/>
    <mergeCell ref="C116:Q116"/>
    <mergeCell ref="F118:P118"/>
    <mergeCell ref="F119:P119"/>
    <mergeCell ref="M121:P121"/>
    <mergeCell ref="N130:Q130"/>
    <mergeCell ref="N127:Q127"/>
    <mergeCell ref="N128:Q128"/>
    <mergeCell ref="N129:Q129"/>
    <mergeCell ref="M123:Q123"/>
    <mergeCell ref="M124:Q124"/>
    <mergeCell ref="F131:I131"/>
    <mergeCell ref="F132:I132"/>
    <mergeCell ref="F133:I133"/>
    <mergeCell ref="F134:I134"/>
    <mergeCell ref="F130:I130"/>
    <mergeCell ref="L130:M130"/>
    <mergeCell ref="F136:I136"/>
    <mergeCell ref="F137:I137"/>
    <mergeCell ref="L137:M137"/>
    <mergeCell ref="N137:Q137"/>
    <mergeCell ref="L134:M134"/>
    <mergeCell ref="N134:Q134"/>
    <mergeCell ref="F135:I135"/>
    <mergeCell ref="L135:M135"/>
    <mergeCell ref="N135:Q135"/>
    <mergeCell ref="F140:I140"/>
    <mergeCell ref="F141:I141"/>
    <mergeCell ref="L141:M141"/>
    <mergeCell ref="N141:Q141"/>
    <mergeCell ref="F138:I138"/>
    <mergeCell ref="F139:I139"/>
    <mergeCell ref="L139:M139"/>
    <mergeCell ref="N139:Q139"/>
    <mergeCell ref="F144:I144"/>
    <mergeCell ref="F145:I145"/>
    <mergeCell ref="L145:M145"/>
    <mergeCell ref="N145:Q145"/>
    <mergeCell ref="F142:I142"/>
    <mergeCell ref="F143:I143"/>
    <mergeCell ref="L143:M143"/>
    <mergeCell ref="N143:Q143"/>
    <mergeCell ref="F148:I148"/>
    <mergeCell ref="L148:M148"/>
    <mergeCell ref="N148:Q148"/>
    <mergeCell ref="F149:I149"/>
    <mergeCell ref="F146:I146"/>
    <mergeCell ref="F147:I147"/>
    <mergeCell ref="L147:M147"/>
    <mergeCell ref="N147:Q147"/>
    <mergeCell ref="F152:I152"/>
    <mergeCell ref="L152:M152"/>
    <mergeCell ref="N152:Q152"/>
    <mergeCell ref="F153:I153"/>
    <mergeCell ref="F150:I150"/>
    <mergeCell ref="L150:M150"/>
    <mergeCell ref="N150:Q150"/>
    <mergeCell ref="F151:I151"/>
    <mergeCell ref="F154:I154"/>
    <mergeCell ref="L154:M154"/>
    <mergeCell ref="N154:Q154"/>
    <mergeCell ref="F155:I155"/>
    <mergeCell ref="L155:M155"/>
    <mergeCell ref="N155:Q155"/>
    <mergeCell ref="F158:I158"/>
    <mergeCell ref="L158:M158"/>
    <mergeCell ref="N158:Q158"/>
    <mergeCell ref="F159:I159"/>
    <mergeCell ref="F156:I156"/>
    <mergeCell ref="L156:M156"/>
    <mergeCell ref="N156:Q156"/>
    <mergeCell ref="F157:I157"/>
    <mergeCell ref="F162:I162"/>
    <mergeCell ref="L162:M162"/>
    <mergeCell ref="N162:Q162"/>
    <mergeCell ref="F163:I163"/>
    <mergeCell ref="F160:I160"/>
    <mergeCell ref="L160:M160"/>
    <mergeCell ref="N160:Q160"/>
    <mergeCell ref="F161:I161"/>
    <mergeCell ref="L161:M161"/>
    <mergeCell ref="N161:Q161"/>
    <mergeCell ref="F167:I167"/>
    <mergeCell ref="L167:M167"/>
    <mergeCell ref="N167:Q167"/>
    <mergeCell ref="N166:Q166"/>
    <mergeCell ref="F164:I164"/>
    <mergeCell ref="L164:M164"/>
    <mergeCell ref="N164:Q164"/>
    <mergeCell ref="F165:I165"/>
    <mergeCell ref="L165:M165"/>
    <mergeCell ref="N165:Q165"/>
    <mergeCell ref="F170:I170"/>
    <mergeCell ref="F171:I171"/>
    <mergeCell ref="L171:M171"/>
    <mergeCell ref="N171:Q171"/>
    <mergeCell ref="F168:I168"/>
    <mergeCell ref="F169:I169"/>
    <mergeCell ref="L169:M169"/>
    <mergeCell ref="N169:Q169"/>
    <mergeCell ref="F175:I175"/>
    <mergeCell ref="L175:M175"/>
    <mergeCell ref="N175:Q175"/>
    <mergeCell ref="F176:I176"/>
    <mergeCell ref="F173:I173"/>
    <mergeCell ref="L173:M173"/>
    <mergeCell ref="N173:Q173"/>
    <mergeCell ref="F174:I174"/>
    <mergeCell ref="F179:I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83:I183"/>
    <mergeCell ref="F184:I184"/>
    <mergeCell ref="L184:M184"/>
    <mergeCell ref="N184:Q184"/>
    <mergeCell ref="F181:I181"/>
    <mergeCell ref="F182:I182"/>
    <mergeCell ref="L182:M182"/>
    <mergeCell ref="N182:Q182"/>
    <mergeCell ref="F187:I187"/>
    <mergeCell ref="L187:M187"/>
    <mergeCell ref="N187:Q187"/>
    <mergeCell ref="F188:I188"/>
    <mergeCell ref="F185:I185"/>
    <mergeCell ref="F186:I186"/>
    <mergeCell ref="L186:M186"/>
    <mergeCell ref="N186:Q186"/>
    <mergeCell ref="F189:I189"/>
    <mergeCell ref="L189:M189"/>
    <mergeCell ref="N189:Q189"/>
    <mergeCell ref="F190:I190"/>
    <mergeCell ref="L190:M190"/>
    <mergeCell ref="N190:Q190"/>
    <mergeCell ref="F193:I193"/>
    <mergeCell ref="F194:I194"/>
    <mergeCell ref="L194:M194"/>
    <mergeCell ref="N194:Q194"/>
    <mergeCell ref="F191:I191"/>
    <mergeCell ref="F192:I192"/>
    <mergeCell ref="L192:M192"/>
    <mergeCell ref="N192:Q192"/>
    <mergeCell ref="F198:I198"/>
    <mergeCell ref="L198:M198"/>
    <mergeCell ref="N198:Q198"/>
    <mergeCell ref="F199:I199"/>
    <mergeCell ref="F195:I195"/>
    <mergeCell ref="L195:M195"/>
    <mergeCell ref="N195:Q195"/>
    <mergeCell ref="F196:I196"/>
    <mergeCell ref="F202:I202"/>
    <mergeCell ref="L202:M202"/>
    <mergeCell ref="N202:Q202"/>
    <mergeCell ref="F203:I203"/>
    <mergeCell ref="F200:I200"/>
    <mergeCell ref="L200:M200"/>
    <mergeCell ref="N200:Q200"/>
    <mergeCell ref="F201:I201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8:I208"/>
    <mergeCell ref="F209:I209"/>
    <mergeCell ref="F210:I210"/>
    <mergeCell ref="F211:I211"/>
    <mergeCell ref="F206:I206"/>
    <mergeCell ref="F207:I207"/>
    <mergeCell ref="L211:M211"/>
    <mergeCell ref="N211:Q211"/>
    <mergeCell ref="F212:I212"/>
    <mergeCell ref="F213:I213"/>
    <mergeCell ref="L213:M213"/>
    <mergeCell ref="N213:Q213"/>
    <mergeCell ref="L217:M217"/>
    <mergeCell ref="N217:Q217"/>
    <mergeCell ref="F214:I214"/>
    <mergeCell ref="F215:I215"/>
    <mergeCell ref="L215:M215"/>
    <mergeCell ref="N215:Q215"/>
    <mergeCell ref="F218:I218"/>
    <mergeCell ref="F219:I219"/>
    <mergeCell ref="F220:I220"/>
    <mergeCell ref="F222:I222"/>
    <mergeCell ref="F216:I216"/>
    <mergeCell ref="F217:I217"/>
    <mergeCell ref="F225:I225"/>
    <mergeCell ref="F226:I226"/>
    <mergeCell ref="L226:M226"/>
    <mergeCell ref="N226:Q226"/>
    <mergeCell ref="L222:M222"/>
    <mergeCell ref="N222:Q222"/>
    <mergeCell ref="F223:I223"/>
    <mergeCell ref="F224:I224"/>
    <mergeCell ref="L224:M224"/>
    <mergeCell ref="N224:Q224"/>
    <mergeCell ref="F229:I229"/>
    <mergeCell ref="F230:I230"/>
    <mergeCell ref="L230:M230"/>
    <mergeCell ref="N230:Q230"/>
    <mergeCell ref="F227:I227"/>
    <mergeCell ref="F228:I228"/>
    <mergeCell ref="L228:M228"/>
    <mergeCell ref="N228:Q228"/>
    <mergeCell ref="L234:M234"/>
    <mergeCell ref="N234:Q234"/>
    <mergeCell ref="F235:I235"/>
    <mergeCell ref="F236:I236"/>
    <mergeCell ref="F231:I231"/>
    <mergeCell ref="F232:I232"/>
    <mergeCell ref="F233:I233"/>
    <mergeCell ref="F234:I234"/>
    <mergeCell ref="F239:I239"/>
    <mergeCell ref="F241:I241"/>
    <mergeCell ref="L241:M241"/>
    <mergeCell ref="N241:Q241"/>
    <mergeCell ref="F237:I237"/>
    <mergeCell ref="F238:I238"/>
    <mergeCell ref="L238:M238"/>
    <mergeCell ref="N238:Q238"/>
    <mergeCell ref="F248:I248"/>
    <mergeCell ref="L248:M248"/>
    <mergeCell ref="N248:Q248"/>
    <mergeCell ref="F242:I242"/>
    <mergeCell ref="F243:I243"/>
    <mergeCell ref="F244:I244"/>
    <mergeCell ref="F245:I245"/>
    <mergeCell ref="F251:I251"/>
    <mergeCell ref="F252:I252"/>
    <mergeCell ref="L252:M252"/>
    <mergeCell ref="N252:Q252"/>
    <mergeCell ref="F249:I249"/>
    <mergeCell ref="F250:I250"/>
    <mergeCell ref="L250:M250"/>
    <mergeCell ref="N250:Q250"/>
    <mergeCell ref="F253:I253"/>
    <mergeCell ref="L253:M253"/>
    <mergeCell ref="N253:Q253"/>
    <mergeCell ref="F254:I254"/>
    <mergeCell ref="L254:M254"/>
    <mergeCell ref="N254:Q254"/>
    <mergeCell ref="F257:I257"/>
    <mergeCell ref="F258:I258"/>
    <mergeCell ref="L258:M258"/>
    <mergeCell ref="N258:Q258"/>
    <mergeCell ref="F255:I255"/>
    <mergeCell ref="F256:I256"/>
    <mergeCell ref="L256:M256"/>
    <mergeCell ref="N256:Q256"/>
    <mergeCell ref="F261:I261"/>
    <mergeCell ref="F262:I262"/>
    <mergeCell ref="L262:M262"/>
    <mergeCell ref="N262:Q262"/>
    <mergeCell ref="F259:I259"/>
    <mergeCell ref="F260:I260"/>
    <mergeCell ref="L260:M260"/>
    <mergeCell ref="N260:Q260"/>
    <mergeCell ref="N265:Q265"/>
    <mergeCell ref="F266:I266"/>
    <mergeCell ref="F263:I263"/>
    <mergeCell ref="F264:I264"/>
    <mergeCell ref="L264:M264"/>
    <mergeCell ref="N264:Q264"/>
    <mergeCell ref="F267:I267"/>
    <mergeCell ref="F268:I268"/>
    <mergeCell ref="F269:I269"/>
    <mergeCell ref="L269:M269"/>
    <mergeCell ref="F265:I265"/>
    <mergeCell ref="L265:M265"/>
    <mergeCell ref="F272:I272"/>
    <mergeCell ref="F273:I273"/>
    <mergeCell ref="L273:M273"/>
    <mergeCell ref="N273:Q273"/>
    <mergeCell ref="N269:Q269"/>
    <mergeCell ref="F270:I270"/>
    <mergeCell ref="F271:I271"/>
    <mergeCell ref="L271:M271"/>
    <mergeCell ref="N271:Q271"/>
    <mergeCell ref="F276:I276"/>
    <mergeCell ref="F277:I277"/>
    <mergeCell ref="L277:M277"/>
    <mergeCell ref="N277:Q277"/>
    <mergeCell ref="F274:I274"/>
    <mergeCell ref="F275:I275"/>
    <mergeCell ref="L275:M275"/>
    <mergeCell ref="N275:Q275"/>
    <mergeCell ref="L281:M281"/>
    <mergeCell ref="N281:Q281"/>
    <mergeCell ref="F282:I282"/>
    <mergeCell ref="F283:I283"/>
    <mergeCell ref="F278:I278"/>
    <mergeCell ref="F279:I279"/>
    <mergeCell ref="F280:I280"/>
    <mergeCell ref="F281:I281"/>
    <mergeCell ref="N287:Q287"/>
    <mergeCell ref="F288:I288"/>
    <mergeCell ref="L288:M288"/>
    <mergeCell ref="N288:Q288"/>
    <mergeCell ref="F284:I284"/>
    <mergeCell ref="F286:I286"/>
    <mergeCell ref="L286:M286"/>
    <mergeCell ref="N286:Q286"/>
    <mergeCell ref="F289:I289"/>
    <mergeCell ref="F290:I290"/>
    <mergeCell ref="F291:I291"/>
    <mergeCell ref="F292:I292"/>
    <mergeCell ref="F287:I287"/>
    <mergeCell ref="L287:M287"/>
    <mergeCell ref="N295:Q295"/>
    <mergeCell ref="F298:I298"/>
    <mergeCell ref="L298:M298"/>
    <mergeCell ref="N298:Q298"/>
    <mergeCell ref="F293:I293"/>
    <mergeCell ref="L293:M293"/>
    <mergeCell ref="N293:Q293"/>
    <mergeCell ref="F294:I294"/>
    <mergeCell ref="F299:I299"/>
    <mergeCell ref="F300:I300"/>
    <mergeCell ref="F301:I301"/>
    <mergeCell ref="F302:I302"/>
    <mergeCell ref="F295:I295"/>
    <mergeCell ref="L295:M295"/>
    <mergeCell ref="F304:I304"/>
    <mergeCell ref="F305:I305"/>
    <mergeCell ref="L305:M305"/>
    <mergeCell ref="N305:Q305"/>
    <mergeCell ref="L302:M302"/>
    <mergeCell ref="N302:Q302"/>
    <mergeCell ref="F303:I303"/>
    <mergeCell ref="L303:M303"/>
    <mergeCell ref="N303:Q303"/>
    <mergeCell ref="F308:I308"/>
    <mergeCell ref="L308:M308"/>
    <mergeCell ref="N308:Q308"/>
    <mergeCell ref="F309:I309"/>
    <mergeCell ref="F306:I306"/>
    <mergeCell ref="F307:I307"/>
    <mergeCell ref="L307:M307"/>
    <mergeCell ref="N307:Q307"/>
    <mergeCell ref="N312:Q312"/>
    <mergeCell ref="F313:I313"/>
    <mergeCell ref="F314:I314"/>
    <mergeCell ref="L314:M314"/>
    <mergeCell ref="N314:Q314"/>
    <mergeCell ref="F310:I310"/>
    <mergeCell ref="F311:I311"/>
    <mergeCell ref="F312:I312"/>
    <mergeCell ref="L312:M312"/>
    <mergeCell ref="F319:I319"/>
    <mergeCell ref="L319:M319"/>
    <mergeCell ref="N319:Q319"/>
    <mergeCell ref="F321:I321"/>
    <mergeCell ref="L321:M321"/>
    <mergeCell ref="F315:I315"/>
    <mergeCell ref="F316:I316"/>
    <mergeCell ref="F317:I317"/>
    <mergeCell ref="F318:I318"/>
    <mergeCell ref="N321:Q321"/>
    <mergeCell ref="N285:Q285"/>
    <mergeCell ref="F324:I324"/>
    <mergeCell ref="L324:M324"/>
    <mergeCell ref="N324:Q324"/>
    <mergeCell ref="N296:Q296"/>
    <mergeCell ref="N297:Q297"/>
    <mergeCell ref="N320:Q320"/>
    <mergeCell ref="L318:M318"/>
    <mergeCell ref="N318:Q318"/>
    <mergeCell ref="F325:I325"/>
    <mergeCell ref="L325:M325"/>
    <mergeCell ref="N325:Q325"/>
    <mergeCell ref="F322:I322"/>
    <mergeCell ref="L322:M322"/>
    <mergeCell ref="N322:Q322"/>
    <mergeCell ref="F323:I323"/>
    <mergeCell ref="L323:M323"/>
    <mergeCell ref="N323:Q323"/>
    <mergeCell ref="N221:Q221"/>
    <mergeCell ref="N240:Q240"/>
    <mergeCell ref="N247:Q247"/>
    <mergeCell ref="H1:K1"/>
    <mergeCell ref="S2:AC2"/>
    <mergeCell ref="N172:Q172"/>
    <mergeCell ref="N197:Q197"/>
    <mergeCell ref="F246:I246"/>
    <mergeCell ref="L246:M246"/>
    <mergeCell ref="N246:Q246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MSPro</dc:creator>
  <cp:keywords/>
  <dc:description/>
  <cp:lastModifiedBy>MSPro</cp:lastModifiedBy>
  <cp:lastPrinted>2013-10-21T14:12:00Z</cp:lastPrinted>
  <dcterms:created xsi:type="dcterms:W3CDTF">2013-10-18T09:44:15Z</dcterms:created>
  <dcterms:modified xsi:type="dcterms:W3CDTF">2013-11-11T07:38:36Z</dcterms:modified>
  <cp:category/>
  <cp:version/>
  <cp:contentType/>
  <cp:contentStatus/>
</cp:coreProperties>
</file>